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4gDVzpDAgEwV1bbT3XWef4vAJdnjYIT/YogbMIr0BoUtheP/t7NX7h1kiayTTX+4vZPC93Xua88G/IaVdGJzUA==" workbookSaltValue="Lpnco90x+1wQHtSlz6QY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EP31" i="8"/>
  <c r="AL14" i="16"/>
  <c r="AJ14" i="16"/>
  <c r="EP31" i="19"/>
  <c r="S14" i="16"/>
  <c r="P14" i="16"/>
  <c r="F13" i="16"/>
  <c r="R30" i="17"/>
  <c r="K26" i="2"/>
  <c r="N26" i="2"/>
  <c r="M23" i="2"/>
  <c r="F30" i="17"/>
  <c r="F26" i="17"/>
  <c r="F14" i="7"/>
  <c r="T14" i="20"/>
  <c r="BB26" i="13"/>
  <c r="BD9" i="8"/>
  <c r="AH14" i="16"/>
  <c r="AO14" i="21"/>
  <c r="AP14" i="16"/>
  <c r="F11" i="16"/>
  <c r="BL11" i="16" s="1"/>
  <c r="T23" i="17"/>
  <c r="T26" i="17" s="1"/>
  <c r="T30" i="17" s="1"/>
  <c r="U26" i="16"/>
  <c r="BG16" i="13"/>
  <c r="BE17" i="13"/>
  <c r="BF17" i="13"/>
  <c r="E32" i="20"/>
  <c r="AI32" i="20"/>
  <c r="U10" i="11"/>
  <c r="J32" i="20"/>
  <c r="AK32" i="20"/>
  <c r="AE32" i="20"/>
  <c r="AZ32" i="20"/>
  <c r="W32" i="20"/>
  <c r="AJ32" i="20"/>
  <c r="G30" i="14"/>
  <c r="G23" i="14"/>
  <c r="U18" i="11"/>
  <c r="AX32" i="20"/>
  <c r="Y32" i="20"/>
  <c r="L32" i="20"/>
  <c r="AG32" i="20"/>
  <c r="H32" i="20"/>
  <c r="T32" i="21"/>
  <c r="F32" i="20"/>
  <c r="AF32" i="20"/>
  <c r="G26" i="14"/>
  <c r="S32" i="20"/>
  <c r="K32" i="20"/>
  <c r="AQ32" i="21"/>
  <c r="O17" i="11"/>
  <c r="M32" i="20"/>
  <c r="AM32" i="20"/>
  <c r="I32" i="20"/>
  <c r="Q32" i="20"/>
  <c r="U12" i="11"/>
  <c r="AU32" i="20"/>
  <c r="G14" i="14"/>
  <c r="O18" i="11"/>
  <c r="R32" i="20"/>
  <c r="E23" i="12" l="1"/>
  <c r="BF16" i="8"/>
  <c r="F16" i="11"/>
  <c r="AQ16" i="11" s="1"/>
  <c r="Z14" i="17"/>
  <c r="T31" i="8"/>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9" i="12" l="1"/>
  <c r="K17" i="12"/>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X21" i="20"/>
  <c r="L18" i="2"/>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28" i="2"/>
  <c r="L16" i="2"/>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<sst xmlns="http://schemas.openxmlformats.org/spreadsheetml/2006/main" count="2668" uniqueCount="1192">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</sst>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l2gJYE2cRGggGpsAI1WBnvHwp8WllRplOYLQwrdSd/U8cHsMzeDBN1oYjbVxz6xG2i/a3OhmOmujlq33FZQKA==" saltValue="6k6IXlBjy1rhD+u0mAZO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23.278053624627606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117</v>
      </c>
      <c r="D10" s="239">
        <f>IF(ISNUMBER(Datos!I10),Datos!I10," - ")</f>
        <v>117</v>
      </c>
      <c r="E10" s="240">
        <f>IF(ISNUMBER(Datos!J10),Datos!J10," - ")</f>
        <v>30</v>
      </c>
      <c r="F10" s="240">
        <f>IF(ISNUMBER(Datos!K10),Datos!K10," - ")</f>
        <v>49</v>
      </c>
      <c r="G10" s="1390" t="str">
        <f>IF(Datos!E10&lt;&gt;"",Datos!E10,Datos!D10)</f>
        <v>37</v>
      </c>
      <c r="H10" s="241">
        <f>IF(ISNUMBER(Datos!L10),Datos!L10," - ")</f>
        <v>98</v>
      </c>
      <c r="I10" s="1400" t="str">
        <f>IF(ISNUMBER(Datos!AS10/Datos!BM10),Datos!AS10/Datos!BM10," - ")</f>
        <v xml:space="preserve"> - </v>
      </c>
      <c r="J10" s="1401">
        <f>IF(ISNUMBER(Datos!BY10/Datos!CN10),Datos!BY10/Datos!CN10," - ")</f>
        <v>0</v>
      </c>
      <c r="K10" s="244">
        <f t="shared" ref="K10:K13" si="1">IF(ISNUMBER((E10-F10)/C10),(E10-F10)/C10," - ")</f>
        <v>-0.1623931623931624</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23.989106753812639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117</v>
      </c>
      <c r="D14" s="1407">
        <f>SUBTOTAL(9,D9:D13)</f>
        <v>117</v>
      </c>
      <c r="E14" s="1408">
        <f>SUBTOTAL(9,E9:E13)</f>
        <v>30</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1752</v>
      </c>
      <c r="D16" s="239">
        <f>IF(ISNUMBER(IF(D_I="SI",Datos!I16,Datos!I16+Datos!AC16)),IF(D_I="SI",Datos!I16,Datos!I16+Datos!AC16)," - ")</f>
        <v>1683</v>
      </c>
      <c r="E16" s="240">
        <f>IF(ISNUMBER(IF(D_I="SI",Datos!J16,Datos!J16+Datos!AD16)),IF(D_I="SI",Datos!J16,Datos!J16+Datos!AD16)," - ")</f>
        <v>3397</v>
      </c>
      <c r="F16" s="240">
        <f>IF(ISNUMBER(IF(D_I="SI",Datos!K16,Datos!K16+Datos!AE16)),IF(D_I="SI",Datos!K16,Datos!K16+Datos!AE16)," - ")</f>
        <v>3267</v>
      </c>
      <c r="G16" s="1390" t="str">
        <f>IF(Datos!E16&lt;&gt;"",Datos!E16,Datos!D16)</f>
        <v>03</v>
      </c>
      <c r="H16" s="241">
        <f>IF(ISNUMBER(IF(D_I="SI",Datos!L16,Datos!L16+Datos!AF16)),IF(D_I="SI",Datos!L16,Datos!L16+Datos!AF16)," - ")</f>
        <v>1882</v>
      </c>
      <c r="I16" s="1400" t="str">
        <f>IF(ISNUMBER(Datos!AS16/Datos!BM16),Datos!AS16/Datos!BM16," - ")</f>
        <v xml:space="preserve"> - </v>
      </c>
      <c r="J16" s="1401">
        <f>IF(ISNUMBER(Datos!BY16/Datos!CN16),Datos!BY16/Datos!CN16," - ")</f>
        <v>0</v>
      </c>
      <c r="K16" s="244">
        <f t="shared" ref="K16:K22" si="3">IF(ISNUMBER((E16-F16)/C16),(E16-F16)/C16," - ")</f>
        <v>7.4200913242009128E-2</v>
      </c>
      <c r="L16" s="1402">
        <f>IF(ISNUMBER(NºAsuntos!I16/NºAsuntos!G16),(NºAsuntos!I16/NºAsuntos!G16)*11," - ")</f>
        <v>6.3367003367003374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356</v>
      </c>
      <c r="D18" s="239">
        <f>IF(ISNUMBER(IF(D_I="SI",Datos!I18,Datos!I18+Datos!AC18)),IF(D_I="SI",Datos!I18,Datos!I18+Datos!AC18)," - ")</f>
        <v>353</v>
      </c>
      <c r="E18" s="240">
        <f>IF(ISNUMBER(IF(D_I="SI",Datos!J18,Datos!J18+Datos!AD18)),IF(D_I="SI",Datos!J18,Datos!J18+Datos!AD18)," - ")</f>
        <v>615</v>
      </c>
      <c r="F18" s="240">
        <f>IF(ISNUMBER(IF(D_I="SI",Datos!K18,Datos!K18+Datos!AE18)),IF(D_I="SI",Datos!K18,Datos!K18+Datos!AE18)," - ")</f>
        <v>579</v>
      </c>
      <c r="G18" s="1390" t="str">
        <f>IF(Datos!E18&lt;&gt;"",Datos!E18,Datos!D18)</f>
        <v>37</v>
      </c>
      <c r="H18" s="241">
        <f>IF(ISNUMBER(IF(D_I="SI",Datos!L18,Datos!L18+Datos!AF18)),IF(D_I="SI",Datos!L18,Datos!L18+Datos!AF18)," - ")</f>
        <v>392</v>
      </c>
      <c r="I18" s="1400" t="str">
        <f>IF(ISNUMBER(Datos!AS18/Datos!BM18),Datos!AS18/Datos!BM18," - ")</f>
        <v xml:space="preserve"> - </v>
      </c>
      <c r="J18" s="1401" t="str">
        <f>IF(ISNUMBER((Datos!BY18+Datos!BZ18)/Datos!CN18),(Datos!BY18+Datos!BZ18)/Datos!CN18," - ")</f>
        <v xml:space="preserve"> - </v>
      </c>
      <c r="K18" s="244">
        <f t="shared" si="3"/>
        <v>0.10112359550561797</v>
      </c>
      <c r="L18" s="1402">
        <f>IF(ISNUMBER(NºAsuntos!I18/NºAsuntos!G18),(NºAsuntos!I18/NºAsuntos!G18)*11," - ")</f>
        <v>7.4473229706390329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2108</v>
      </c>
      <c r="D23" s="1407">
        <f>SUBTOTAL(9,D16:D22)</f>
        <v>2036</v>
      </c>
      <c r="E23" s="1408">
        <f>SUBTOTAL(9,E16:E22)</f>
        <v>4012</v>
      </c>
      <c r="F23" s="1408">
        <f>SUBTOTAL(9,F16:F22)</f>
        <v>3846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2225</v>
      </c>
      <c r="D31" s="1435">
        <f>SUBTOTAL(9,D9:D30)</f>
        <v>2153</v>
      </c>
      <c r="E31" s="1436">
        <f>SUBTOTAL(9,E9:E30)</f>
        <v>4042</v>
      </c>
      <c r="F31" s="1436">
        <f>SUBTOTAL(9,F9:F30)</f>
        <v>3895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Owqd/oSl6CbPfBJ7zZ6QyTWrYcsjG3o0w8+AhaooQSnO40QDGAlasUAPCdcCyV3jrBQXTqgv1mTwiKF1GcXQ==" saltValue="4nmGntxjutDvuYd1Kis1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g8e6VsyswmrRS7E+0JizW7fYRSQNFexQ85FIC4+Qit7NWPC2JvZAn4TK+QpVdbwvyR2D0BGy6zWKziSCha2Pw==" saltValue="aVhkUYHgAVpjEeJX43S7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3960</v>
      </c>
      <c r="J9" s="194">
        <v>2130</v>
      </c>
      <c r="K9" s="194">
        <v>1948</v>
      </c>
      <c r="L9" s="194">
        <v>4143</v>
      </c>
      <c r="M9" s="194">
        <v>263</v>
      </c>
      <c r="N9" s="194">
        <v>1184</v>
      </c>
      <c r="O9" s="194">
        <v>729</v>
      </c>
      <c r="P9" s="194">
        <v>414</v>
      </c>
      <c r="Q9" s="194">
        <v>633</v>
      </c>
      <c r="R9" s="194">
        <v>8222</v>
      </c>
      <c r="S9" s="194">
        <v>2943</v>
      </c>
      <c r="T9" s="194">
        <v>2006</v>
      </c>
      <c r="U9" s="194">
        <v>1615</v>
      </c>
      <c r="V9" s="194">
        <v>3326</v>
      </c>
      <c r="W9" s="194">
        <v>200</v>
      </c>
      <c r="X9" s="201">
        <v>995</v>
      </c>
      <c r="Y9" s="204">
        <v>108</v>
      </c>
      <c r="Z9" s="194">
        <v>77</v>
      </c>
      <c r="AA9" s="194">
        <v>66</v>
      </c>
      <c r="AB9" s="194">
        <v>119</v>
      </c>
      <c r="AC9" s="194">
        <v>0</v>
      </c>
      <c r="AD9" s="194">
        <v>0</v>
      </c>
      <c r="AE9" s="194">
        <v>0</v>
      </c>
      <c r="AF9" s="201">
        <v>0</v>
      </c>
      <c r="AG9" s="204">
        <v>92</v>
      </c>
      <c r="AH9" s="194">
        <v>73</v>
      </c>
      <c r="AI9" s="194">
        <v>75</v>
      </c>
      <c r="AJ9" s="205">
        <v>90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3035</v>
      </c>
      <c r="AZ9" s="133">
        <f>IF(ISNUMBER(IF(J_V="SI",T9,T9+AH9)),IF(J_V="SI",T9,T9+AH9)," - ")</f>
        <v>2079</v>
      </c>
      <c r="BA9" s="134">
        <f>IF(ISNUMBER(IF(J_V="SI",U9,U9+AI9)),IF(J_V="SI",U9,U9+AI9)," - ")</f>
        <v>1690</v>
      </c>
      <c r="BB9" s="134">
        <f>IF(ISNUMBER(IF(J_V="SI",V9,V9+AJ9)),IF(J_V="SI",V9,V9+AJ9)," - ")</f>
        <v>3416</v>
      </c>
      <c r="BC9" s="135">
        <f>IF(ISNUMBER(X9),X9," - ")</f>
        <v>995</v>
      </c>
      <c r="BD9" s="136">
        <f>IF(ISNUMBER(BA9/AZ9),BA9/AZ9," - ")</f>
        <v>0.81289081289081289</v>
      </c>
      <c r="BE9" s="137">
        <f>IF(ISNUMBER(BB9/BA9),BB9/BA9, " - ")</f>
        <v>2.0213017751479292</v>
      </c>
      <c r="BF9" s="137">
        <f>IF(ISNUMBER(BC9/BA9),BC9/BA9, " - ")</f>
        <v>0.58875739644970415</v>
      </c>
      <c r="BG9" s="209">
        <f>IF(ISNUMBER((AY9+AZ9)/BA9),(AY9+AZ9)/BA9," - ")</f>
        <v>3.0260355029585799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117</v>
      </c>
      <c r="J10" s="194">
        <v>30</v>
      </c>
      <c r="K10" s="194">
        <v>49</v>
      </c>
      <c r="L10" s="194">
        <v>98</v>
      </c>
      <c r="M10" s="194">
        <v>15</v>
      </c>
      <c r="N10" s="194">
        <v>3</v>
      </c>
      <c r="O10" s="194">
        <v>3</v>
      </c>
      <c r="P10" s="194">
        <v>4</v>
      </c>
      <c r="Q10" s="194">
        <v>1</v>
      </c>
      <c r="R10" s="194">
        <v>105</v>
      </c>
      <c r="S10" s="194">
        <v>97</v>
      </c>
      <c r="T10" s="194">
        <v>25</v>
      </c>
      <c r="U10" s="194">
        <v>13</v>
      </c>
      <c r="V10" s="194">
        <v>109</v>
      </c>
      <c r="W10" s="194">
        <v>11</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97</v>
      </c>
      <c r="AZ10" s="139">
        <f t="shared" si="0"/>
        <v>25</v>
      </c>
      <c r="BA10" s="139">
        <f t="shared" si="0"/>
        <v>13</v>
      </c>
      <c r="BB10" s="139">
        <f t="shared" si="0"/>
        <v>109</v>
      </c>
      <c r="BC10" s="135">
        <f t="shared" si="0"/>
        <v>11</v>
      </c>
      <c r="BD10" s="136">
        <f>IF(ISNUMBER(BA10/AZ10),BA10/AZ10," - ")</f>
        <v>0.52</v>
      </c>
      <c r="BE10" s="137">
        <f>IF(ISNUMBER(BB10/BA10),BB10/BA10, " - ")</f>
        <v>8.384615384615385</v>
      </c>
      <c r="BF10" s="137">
        <f>IF(ISNUMBER(BC10/BA10),BC10/BA10, " - ")</f>
        <v>0.84615384615384615</v>
      </c>
      <c r="BG10" s="209">
        <f>IF(ISNUMBER((AY10+AZ10)/BA10),(AY10+AZ10)/BA10," - ")</f>
        <v>9.384615384615385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723</v>
      </c>
      <c r="J11" s="196">
        <v>345</v>
      </c>
      <c r="K11" s="196">
        <v>245</v>
      </c>
      <c r="L11" s="196">
        <v>823</v>
      </c>
      <c r="M11" s="196">
        <v>115</v>
      </c>
      <c r="N11" s="196">
        <v>284</v>
      </c>
      <c r="O11" s="194">
        <v>88</v>
      </c>
      <c r="P11" s="196">
        <v>41</v>
      </c>
      <c r="Q11" s="196">
        <v>82</v>
      </c>
      <c r="R11" s="196">
        <v>671</v>
      </c>
      <c r="S11" s="196">
        <v>707</v>
      </c>
      <c r="T11" s="196">
        <v>258</v>
      </c>
      <c r="U11" s="196">
        <v>230</v>
      </c>
      <c r="V11" s="196">
        <v>735</v>
      </c>
      <c r="W11" s="196">
        <v>108</v>
      </c>
      <c r="X11" s="202">
        <v>256</v>
      </c>
      <c r="Y11" s="204">
        <v>138</v>
      </c>
      <c r="Z11" s="194">
        <v>254</v>
      </c>
      <c r="AA11" s="194">
        <v>214</v>
      </c>
      <c r="AB11" s="194">
        <v>178</v>
      </c>
      <c r="AC11" s="196">
        <v>0</v>
      </c>
      <c r="AD11" s="196">
        <v>0</v>
      </c>
      <c r="AE11" s="196">
        <v>0</v>
      </c>
      <c r="AF11" s="202">
        <v>0</v>
      </c>
      <c r="AG11" s="215">
        <v>605</v>
      </c>
      <c r="AH11" s="196">
        <v>181</v>
      </c>
      <c r="AI11" s="196">
        <v>170</v>
      </c>
      <c r="AJ11" s="216">
        <v>251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1312</v>
      </c>
      <c r="AZ11" s="137">
        <f t="shared" si="1"/>
        <v>439</v>
      </c>
      <c r="BA11" s="137">
        <f t="shared" si="1"/>
        <v>400</v>
      </c>
      <c r="BB11" s="137">
        <f t="shared" si="1"/>
        <v>986</v>
      </c>
      <c r="BC11" s="135">
        <f>IF(ISNUMBER(X11),X11," - ")</f>
        <v>256</v>
      </c>
      <c r="BD11" s="136">
        <f t="shared" ref="BD11:BD13" si="2">IF(ISNUMBER(BA11/AZ11),BA11/AZ11," - ")</f>
        <v>0.91116173120728927</v>
      </c>
      <c r="BE11" s="137">
        <f t="shared" ref="BE11:BE13" si="3">IF(ISNUMBER(BB11/BA11),BB11/BA11, " - ")</f>
        <v>2.4649999999999999</v>
      </c>
      <c r="BF11" s="137">
        <f t="shared" ref="BF11:BF13" si="4">IF(ISNUMBER(BC11/BA11),BC11/BA11, " - ")</f>
        <v>0.64</v>
      </c>
      <c r="BG11" s="209">
        <f t="shared" ref="BG11:BG13" si="5">IF(ISNUMBER((AY11+AZ11)/BA11),(AY11+AZ11)/BA11," - ")</f>
        <v>4.3775000000000004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4800</v>
      </c>
      <c r="J14" s="197">
        <f t="shared" si="7"/>
        <v>2505</v>
      </c>
      <c r="K14" s="197">
        <f t="shared" si="7"/>
        <v>2242</v>
      </c>
      <c r="L14" s="197">
        <f t="shared" si="7"/>
        <v>5064</v>
      </c>
      <c r="M14" s="197">
        <f t="shared" si="7"/>
        <v>393</v>
      </c>
      <c r="N14" s="197">
        <f t="shared" si="7"/>
        <v>1471</v>
      </c>
      <c r="O14" s="197">
        <f t="shared" si="7"/>
        <v>820</v>
      </c>
      <c r="P14" s="197">
        <f t="shared" si="7"/>
        <v>459</v>
      </c>
      <c r="Q14" s="197">
        <f t="shared" si="7"/>
        <v>716</v>
      </c>
      <c r="R14" s="197">
        <f t="shared" si="7"/>
        <v>8998</v>
      </c>
      <c r="S14" s="197">
        <f t="shared" si="7"/>
        <v>3747</v>
      </c>
      <c r="T14" s="197">
        <f t="shared" si="7"/>
        <v>2289</v>
      </c>
      <c r="U14" s="197">
        <f t="shared" si="7"/>
        <v>1858</v>
      </c>
      <c r="V14" s="197">
        <f t="shared" si="7"/>
        <v>4170</v>
      </c>
      <c r="W14" s="197">
        <f t="shared" si="7"/>
        <v>319</v>
      </c>
      <c r="X14" s="197">
        <f t="shared" si="7"/>
        <v>1257</v>
      </c>
      <c r="Y14" s="197">
        <f t="shared" si="7"/>
        <v>246</v>
      </c>
      <c r="Z14" s="197">
        <f t="shared" si="7"/>
        <v>331</v>
      </c>
      <c r="AA14" s="197">
        <f t="shared" si="7"/>
        <v>280</v>
      </c>
      <c r="AB14" s="197">
        <f t="shared" si="7"/>
        <v>297</v>
      </c>
      <c r="AC14" s="197">
        <f t="shared" si="7"/>
        <v>0</v>
      </c>
      <c r="AD14" s="197">
        <f t="shared" si="7"/>
        <v>0</v>
      </c>
      <c r="AE14" s="197">
        <f t="shared" si="7"/>
        <v>0</v>
      </c>
      <c r="AF14" s="197">
        <f>SUBTOTAL(9,AF9:AF13)</f>
        <v>0</v>
      </c>
      <c r="AG14" s="197">
        <f t="shared" ref="AG14:AT14" si="8">SUBTOTAL(9,AG8:AG13)</f>
        <v>697</v>
      </c>
      <c r="AH14" s="197">
        <f t="shared" si="8"/>
        <v>254</v>
      </c>
      <c r="AI14" s="197">
        <f t="shared" si="8"/>
        <v>245</v>
      </c>
      <c r="AJ14" s="197">
        <f t="shared" si="8"/>
        <v>341</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4444</v>
      </c>
      <c r="AZ14" s="197">
        <f>SUBTOTAL(9,AZ8:AZ13)</f>
        <v>2543</v>
      </c>
      <c r="BA14" s="197">
        <f>SUBTOTAL(9,BA8:BA13)</f>
        <v>2103</v>
      </c>
      <c r="BB14" s="197">
        <f>SUBTOTAL(9,BB8:BB13)</f>
        <v>4511</v>
      </c>
      <c r="BC14" s="197">
        <f>SUBTOTAL(9,BC8:BC13)</f>
        <v>1262</v>
      </c>
      <c r="BD14" s="219">
        <f>IF(ISNUMBER(BA14/AZ14),BA14/AZ14," - ")</f>
        <v>0.82697601258356268</v>
      </c>
      <c r="BE14" s="220">
        <f>IF(ISNUMBER(BB14/BA14),BB14/BA14, " - ")</f>
        <v>2.1450309082263432</v>
      </c>
      <c r="BF14" s="220">
        <f>IF(ISNUMBER(BC14/BA14),BC14/BA14, " - ")</f>
        <v>0.60009510223490248</v>
      </c>
      <c r="BG14" s="221">
        <f>IF(ISNUMBER((AY14+AZ14)/BA14),(AY14+AZ14)/BA14," - ")</f>
        <v>3.3223965763195435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1683</v>
      </c>
      <c r="J16" s="196">
        <v>3397</v>
      </c>
      <c r="K16" s="196">
        <v>3267</v>
      </c>
      <c r="L16" s="196">
        <v>1882</v>
      </c>
      <c r="M16" s="196">
        <v>195</v>
      </c>
      <c r="N16" s="196">
        <v>2098</v>
      </c>
      <c r="O16" s="194">
        <v>19</v>
      </c>
      <c r="P16" s="196">
        <v>138</v>
      </c>
      <c r="Q16" s="196">
        <v>99</v>
      </c>
      <c r="R16" s="196">
        <v>467</v>
      </c>
      <c r="S16" s="196">
        <v>1896</v>
      </c>
      <c r="T16" s="196">
        <v>3352</v>
      </c>
      <c r="U16" s="196">
        <v>3207</v>
      </c>
      <c r="V16" s="196">
        <v>2121</v>
      </c>
      <c r="W16" s="196">
        <v>161</v>
      </c>
      <c r="X16" s="202">
        <v>2023</v>
      </c>
      <c r="Y16" s="215">
        <v>0</v>
      </c>
      <c r="Z16" s="196">
        <v>0</v>
      </c>
      <c r="AA16" s="196">
        <v>0</v>
      </c>
      <c r="AB16" s="196">
        <v>0</v>
      </c>
      <c r="AC16" s="196">
        <v>0</v>
      </c>
      <c r="AD16" s="196">
        <v>51</v>
      </c>
      <c r="AE16" s="196">
        <v>48</v>
      </c>
      <c r="AF16" s="202">
        <v>3</v>
      </c>
      <c r="AG16" s="215">
        <v>0</v>
      </c>
      <c r="AH16" s="196">
        <v>0</v>
      </c>
      <c r="AI16" s="196">
        <v>0</v>
      </c>
      <c r="AJ16" s="216">
        <v>0</v>
      </c>
      <c r="AK16" s="195">
        <v>1</v>
      </c>
      <c r="AL16" s="196">
        <v>19</v>
      </c>
      <c r="AM16" s="196">
        <v>17</v>
      </c>
      <c r="AN16" s="202">
        <v>3</v>
      </c>
      <c r="AO16" s="283">
        <v>6</v>
      </c>
      <c r="AP16" s="168">
        <v>6</v>
      </c>
      <c r="AQ16" s="168">
        <v>6</v>
      </c>
      <c r="AR16" s="168">
        <v>6</v>
      </c>
      <c r="AS16" s="381" t="s">
        <v>702</v>
      </c>
      <c r="AT16" s="216" t="s">
        <v>424</v>
      </c>
      <c r="AU16" s="215"/>
      <c r="AV16" s="216"/>
      <c r="AW16" s="215"/>
      <c r="AX16" s="216"/>
      <c r="AY16" s="138">
        <f t="shared" ref="AY16:BB17" si="10">IF(ISNUMBER(IF(D_I="SI",S16,S16+AK16)),IF(D_I="SI",S16,S16+AK16)," - ")</f>
        <v>1896</v>
      </c>
      <c r="AZ16" s="139">
        <f t="shared" si="10"/>
        <v>3352</v>
      </c>
      <c r="BA16" s="139">
        <f t="shared" si="10"/>
        <v>3207</v>
      </c>
      <c r="BB16" s="139">
        <f t="shared" si="10"/>
        <v>2121</v>
      </c>
      <c r="BC16" s="135">
        <f>IF(ISNUMBER(W16),W16," - ")</f>
        <v>161</v>
      </c>
      <c r="BD16" s="136">
        <f>IF(ISNUMBER(BA16/AZ16),BA16/AZ16," - ")</f>
        <v>0.95674224343675418</v>
      </c>
      <c r="BE16" s="137">
        <f>IF(ISNUMBER(BB16/BA16),BB16/BA16, " - ")</f>
        <v>0.66136576239476141</v>
      </c>
      <c r="BF16" s="137">
        <f>IF(ISNUMBER(BC16/BA16),BC16/BA16, " - ")</f>
        <v>5.0202681633925786E-2</v>
      </c>
      <c r="BG16" s="209">
        <f t="shared" ref="BG16:BG22" si="11">IF(ISNUMBER((AY16+AZ16)/BA16),(AY16+AZ16)/BA16," - ")</f>
        <v>1.6364203305269722</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353</v>
      </c>
      <c r="J18" s="196">
        <v>615</v>
      </c>
      <c r="K18" s="196">
        <v>579</v>
      </c>
      <c r="L18" s="196">
        <v>392</v>
      </c>
      <c r="M18" s="196">
        <v>10</v>
      </c>
      <c r="N18" s="196">
        <v>382</v>
      </c>
      <c r="O18" s="196">
        <v>0</v>
      </c>
      <c r="P18" s="196">
        <v>0</v>
      </c>
      <c r="Q18" s="196">
        <v>0</v>
      </c>
      <c r="R18" s="196">
        <v>6</v>
      </c>
      <c r="S18" s="196">
        <v>230</v>
      </c>
      <c r="T18" s="196">
        <v>388</v>
      </c>
      <c r="U18" s="196">
        <v>394</v>
      </c>
      <c r="V18" s="196">
        <v>227</v>
      </c>
      <c r="W18" s="196">
        <v>22</v>
      </c>
      <c r="X18" s="202">
        <v>222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230</v>
      </c>
      <c r="AZ18" s="139">
        <f t="shared" si="15"/>
        <v>388</v>
      </c>
      <c r="BA18" s="139">
        <f t="shared" si="15"/>
        <v>394</v>
      </c>
      <c r="BB18" s="139">
        <f t="shared" si="15"/>
        <v>227</v>
      </c>
      <c r="BC18" s="135">
        <f>IF(ISNUMBER(W18),W18," - ")</f>
        <v>22</v>
      </c>
      <c r="BD18" s="136">
        <f>IF(ISNUMBER(BA18/AZ18),BA18/AZ18," - ")</f>
        <v>1.0154639175257731</v>
      </c>
      <c r="BE18" s="137">
        <f>IF(ISNUMBER(BB18/BA18),BB18/BA18, " - ")</f>
        <v>0.57614213197969544</v>
      </c>
      <c r="BF18" s="137">
        <f>IF(ISNUMBER(BC18/BA18),BC18/BA18, " - ")</f>
        <v>5.5837563451776651E-2</v>
      </c>
      <c r="BG18" s="209">
        <f>IF(ISNUMBER((AY18+AZ18)/BA18),(AY18+AZ18)/BA18," - ")</f>
        <v>1.5685279187817258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2036</v>
      </c>
      <c r="J23" s="197">
        <f t="shared" si="21"/>
        <v>4012</v>
      </c>
      <c r="K23" s="197">
        <f t="shared" si="21"/>
        <v>3846</v>
      </c>
      <c r="L23" s="197">
        <f t="shared" si="21"/>
        <v>2274</v>
      </c>
      <c r="M23" s="197">
        <f t="shared" si="21"/>
        <v>205</v>
      </c>
      <c r="N23" s="197">
        <f t="shared" si="21"/>
        <v>2480</v>
      </c>
      <c r="O23" s="197">
        <f t="shared" si="21"/>
        <v>19</v>
      </c>
      <c r="P23" s="197">
        <f t="shared" si="21"/>
        <v>138</v>
      </c>
      <c r="Q23" s="197">
        <f t="shared" si="21"/>
        <v>99</v>
      </c>
      <c r="R23" s="197">
        <f t="shared" si="21"/>
        <v>473</v>
      </c>
      <c r="S23" s="197">
        <f t="shared" si="21"/>
        <v>2126</v>
      </c>
      <c r="T23" s="197">
        <f t="shared" si="21"/>
        <v>3740</v>
      </c>
      <c r="U23" s="197">
        <f t="shared" si="21"/>
        <v>3601</v>
      </c>
      <c r="V23" s="197">
        <f t="shared" si="21"/>
        <v>2348</v>
      </c>
      <c r="W23" s="197">
        <f t="shared" si="21"/>
        <v>183</v>
      </c>
      <c r="X23" s="197">
        <f t="shared" si="21"/>
        <v>2245</v>
      </c>
      <c r="Y23" s="197">
        <f t="shared" si="21"/>
        <v>0</v>
      </c>
      <c r="Z23" s="197">
        <f t="shared" si="21"/>
        <v>0</v>
      </c>
      <c r="AA23" s="197">
        <f t="shared" si="21"/>
        <v>0</v>
      </c>
      <c r="AB23" s="197">
        <f t="shared" si="21"/>
        <v>0</v>
      </c>
      <c r="AC23" s="197">
        <f t="shared" si="21"/>
        <v>0</v>
      </c>
      <c r="AD23" s="197">
        <f t="shared" si="21"/>
        <v>51</v>
      </c>
      <c r="AE23" s="197">
        <f t="shared" si="21"/>
        <v>48</v>
      </c>
      <c r="AF23" s="197">
        <f t="shared" si="21"/>
        <v>3</v>
      </c>
      <c r="AG23" s="197">
        <f t="shared" si="21"/>
        <v>0</v>
      </c>
      <c r="AH23" s="197">
        <f t="shared" si="21"/>
        <v>0</v>
      </c>
      <c r="AI23" s="197">
        <f t="shared" si="21"/>
        <v>0</v>
      </c>
      <c r="AJ23" s="197">
        <f t="shared" si="21"/>
        <v>0</v>
      </c>
      <c r="AK23" s="197">
        <f t="shared" si="21"/>
        <v>1</v>
      </c>
      <c r="AL23" s="197">
        <f t="shared" si="21"/>
        <v>19</v>
      </c>
      <c r="AM23" s="197">
        <f t="shared" si="21"/>
        <v>17</v>
      </c>
      <c r="AN23" s="197">
        <f t="shared" si="21"/>
        <v>3</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2126</v>
      </c>
      <c r="AZ23" s="197">
        <f>SUBTOTAL(9,AZ15:AZ22)</f>
        <v>3740</v>
      </c>
      <c r="BA23" s="197">
        <f>SUBTOTAL(9,BA15:BA22)</f>
        <v>3601</v>
      </c>
      <c r="BB23" s="197">
        <f>SUBTOTAL(9,BB15:BB22)</f>
        <v>2348</v>
      </c>
      <c r="BC23" s="197">
        <f>SUBTOTAL(9,BC15:BC22)</f>
        <v>183</v>
      </c>
      <c r="BD23" s="219">
        <f>IF(ISNUMBER(BA23/AZ23),BA23/AZ23," - ")</f>
        <v>0.96283422459893053</v>
      </c>
      <c r="BE23" s="220">
        <f>IF(ISNUMBER(BB23/BA23),BB23/BA23, " - ")</f>
        <v>0.65204109969452928</v>
      </c>
      <c r="BF23" s="220">
        <f>IF(ISNUMBER(BC23/BA23),BC23/BA23, " - ")</f>
        <v>5.0819216884198833E-2</v>
      </c>
      <c r="BG23" s="221">
        <f>IF(ISNUMBER((AY23+AZ23)/BA23),(AY23+AZ23)/BA23," - ")</f>
        <v>1.6289919466814773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6836</v>
      </c>
      <c r="J31" s="144">
        <f t="shared" si="36"/>
        <v>6517</v>
      </c>
      <c r="K31" s="144">
        <f t="shared" si="36"/>
        <v>6088</v>
      </c>
      <c r="L31" s="144">
        <f t="shared" si="36"/>
        <v>7338</v>
      </c>
      <c r="M31" s="144">
        <f t="shared" si="36"/>
        <v>598</v>
      </c>
      <c r="N31" s="144">
        <f t="shared" si="36"/>
        <v>3951</v>
      </c>
      <c r="O31" s="144">
        <f t="shared" si="36"/>
        <v>839</v>
      </c>
      <c r="P31" s="144">
        <f t="shared" si="36"/>
        <v>597</v>
      </c>
      <c r="Q31" s="144">
        <f t="shared" si="36"/>
        <v>815</v>
      </c>
      <c r="R31" s="144">
        <f t="shared" si="36"/>
        <v>9471</v>
      </c>
      <c r="S31" s="144">
        <f t="shared" si="36"/>
        <v>5873</v>
      </c>
      <c r="T31" s="144">
        <f t="shared" si="36"/>
        <v>6029</v>
      </c>
      <c r="U31" s="144">
        <f t="shared" si="36"/>
        <v>5459</v>
      </c>
      <c r="V31" s="144">
        <f t="shared" si="36"/>
        <v>6518</v>
      </c>
      <c r="W31" s="144">
        <f t="shared" si="36"/>
        <v>502</v>
      </c>
      <c r="X31" s="144">
        <f t="shared" si="36"/>
        <v>3502</v>
      </c>
      <c r="Y31" s="144">
        <f t="shared" si="36"/>
        <v>246</v>
      </c>
      <c r="Z31" s="144">
        <f t="shared" si="36"/>
        <v>331</v>
      </c>
      <c r="AA31" s="144">
        <f t="shared" si="36"/>
        <v>280</v>
      </c>
      <c r="AB31" s="144">
        <f t="shared" si="36"/>
        <v>297</v>
      </c>
      <c r="AC31" s="144">
        <f t="shared" si="36"/>
        <v>0</v>
      </c>
      <c r="AD31" s="144">
        <f t="shared" si="36"/>
        <v>51</v>
      </c>
      <c r="AE31" s="144">
        <f t="shared" si="36"/>
        <v>48</v>
      </c>
      <c r="AF31" s="144">
        <f t="shared" si="36"/>
        <v>3</v>
      </c>
      <c r="AG31" s="144">
        <f t="shared" si="36"/>
        <v>697</v>
      </c>
      <c r="AH31" s="144">
        <f t="shared" si="36"/>
        <v>254</v>
      </c>
      <c r="AI31" s="144">
        <f t="shared" si="36"/>
        <v>245</v>
      </c>
      <c r="AJ31" s="144">
        <f t="shared" si="36"/>
        <v>341</v>
      </c>
      <c r="AK31" s="144">
        <f t="shared" si="36"/>
        <v>1</v>
      </c>
      <c r="AL31" s="144">
        <f t="shared" si="36"/>
        <v>19</v>
      </c>
      <c r="AM31" s="144">
        <f t="shared" si="36"/>
        <v>17</v>
      </c>
      <c r="AN31" s="224">
        <f t="shared" si="36"/>
        <v>3</v>
      </c>
      <c r="AO31" s="225">
        <v>14</v>
      </c>
      <c r="AP31" s="225">
        <v>14</v>
      </c>
      <c r="AQ31" s="225">
        <v>14</v>
      </c>
      <c r="AR31" s="225">
        <v>14</v>
      </c>
      <c r="AS31" s="166">
        <f t="shared" si="36"/>
        <v>0</v>
      </c>
      <c r="AT31" s="166">
        <f t="shared" si="36"/>
        <v>0</v>
      </c>
      <c r="AU31" s="225"/>
      <c r="AV31" s="226"/>
      <c r="AW31" s="225"/>
      <c r="AX31" s="226"/>
      <c r="AY31" s="143">
        <f>SUBTOTAL(9,AY9:AY30)</f>
        <v>6570</v>
      </c>
      <c r="AZ31" s="144">
        <f>SUBTOTAL(9,AZ9:AZ30)</f>
        <v>6283</v>
      </c>
      <c r="BA31" s="144">
        <f>SUBTOTAL(9,BA9:BA30)</f>
        <v>5704</v>
      </c>
      <c r="BB31" s="144">
        <f>SUBTOTAL(9,BB9:BB30)</f>
        <v>6859</v>
      </c>
      <c r="BC31" s="145">
        <f>SUBTOTAL(9,BC9:BC30)</f>
        <v>1445</v>
      </c>
      <c r="BD31" s="227">
        <f>IF(ISNUMBER(BA31/AZ31),BA31/AZ31," - ")</f>
        <v>0.90784657010982017</v>
      </c>
      <c r="BE31" s="224">
        <f>IF(ISNUMBER(BB31/BA31),BB31/BA31, " - ")</f>
        <v>1.2024894810659186</v>
      </c>
      <c r="BF31" s="224">
        <f>IF(ISNUMBER(BC31/BA31),BC31/BA31, " - ")</f>
        <v>0.25333099579242635</v>
      </c>
      <c r="BG31" s="145">
        <f>IF(ISNUMBER((AY31+AZ31)/BA31),(AY31+AZ31)/BA31," - ")</f>
        <v>2.2533309957924264</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SHwAtEK7b9LitcxAoXdZC9oAxohtOr7Admhsc7T5PgsCwHuqI1oyfdUF0db1QKWK6yv9P+oSK0yUZWGi6fqvg==" saltValue="y/mEoKf37LdCmUuW2IkO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geOKAzxV2L/c6RfCzq2NaMD4d+y+2qaHuU5nO3L0T/EsApGHH1G0/tgGH3RSte1vakhDfSyfH9nkNKlWczDGw==" saltValue="+nF5kY1LHhlVGr2il7bK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ALCALA DE HENARES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77</v>
      </c>
      <c r="O9" s="549"/>
      <c r="P9" s="549"/>
      <c r="Q9" s="547">
        <f>IF(ISNUMBER(Datos!P9),Datos!P9,0)</f>
        <v>414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633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119</v>
      </c>
      <c r="AI9" s="549" t="str">
        <f>IF(ISNUMBER(Datos!CD9),Datos!CD9,"-")</f>
        <v>-</v>
      </c>
      <c r="AJ9" s="549" t="str">
        <f>IF(ISNUMBER(Datos!EN9),Datos!EN9," - ")</f>
        <v xml:space="preserve"> - </v>
      </c>
      <c r="AK9" s="549"/>
      <c r="AL9" s="550"/>
      <c r="AM9" s="766">
        <f>IF(ISNUMBER(Datos!R9),Datos!R9," - ")</f>
        <v>8222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263</v>
      </c>
      <c r="BD9" s="693">
        <f>IF(ISNUMBER(Datos!N9),Datos!N9," - ")</f>
        <v>1184</v>
      </c>
      <c r="BE9" s="693" t="str">
        <f>IF(ISNUMBER(Datos!BW9),Datos!BW9," - ")</f>
        <v xml:space="preserve"> - </v>
      </c>
      <c r="BF9" s="762" t="str">
        <f>IF(ISNUMBER(Datos!BX9),Datos!BX9," - ")</f>
        <v xml:space="preserve"> - </v>
      </c>
      <c r="BG9" s="763">
        <f>IF(ISNUMBER(IF(J_V="SI",Datos!K9/Datos!J9,(Datos!K9+Datos!AA9)/(Datos!J9+Datos!Z9))),IF(J_V="SI",Datos!K9/Datos!J9,(Datos!K9+Datos!AA9)/(Datos!J9+Datos!Z9))," - ")</f>
        <v>0.91255097417308562</v>
      </c>
      <c r="BH9" s="764">
        <f>IF(ISNUMBER(((IF(J_V="SI",Datos!L9/Datos!K9,(Datos!L9+Datos!AB9)/(Datos!K9+Datos!AA9)))*11)/factor_trimestre),((IF(J_V="SI",Datos!L9/Datos!K9,(Datos!L9+Datos!AB9)/(Datos!K9+Datos!AA9)))*11)/factor_trimestre," - ")</f>
        <v>4.2323733862959285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-2.5944793270939463E-2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117</v>
      </c>
      <c r="G10" s="543">
        <f>IF(ISNUMBER(Datos!I10),Datos!I10," - ")</f>
        <v>117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1</v>
      </c>
      <c r="AD10" s="549"/>
      <c r="AE10" s="563"/>
      <c r="AF10" s="551">
        <f>IF(ISNUMBER(Datos!L10),Datos!L10,"-")</f>
        <v>98</v>
      </c>
      <c r="AG10" s="549"/>
      <c r="AH10" s="549"/>
      <c r="AI10" s="549"/>
      <c r="AJ10" s="549"/>
      <c r="AK10" s="549"/>
      <c r="AL10" s="550"/>
      <c r="AM10" s="766">
        <f>IF(ISNUMBER(Datos!R10),Datos!R10," - ")</f>
        <v>105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3</v>
      </c>
      <c r="BE10" s="693" t="str">
        <f>IF(ISNUMBER(Datos!BW10),Datos!BW10," - ")</f>
        <v xml:space="preserve"> - </v>
      </c>
      <c r="BF10" s="762" t="str">
        <f>IF(ISNUMBER(Datos!BX10),Datos!BX10," - ")</f>
        <v xml:space="preserve"> - </v>
      </c>
      <c r="BG10" s="763">
        <f>IF(ISNUMBER(Datos!K10/Datos!J10),Datos!K10/Datos!J10," - ")</f>
        <v>1.6333333333333333</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2.9411764705882353E-2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254</v>
      </c>
      <c r="O11" s="549"/>
      <c r="P11" s="549"/>
      <c r="Q11" s="547">
        <f>IF(ISNUMBER(Datos!P11),Datos!P11,0)</f>
        <v>41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82</v>
      </c>
      <c r="AD11" s="549"/>
      <c r="AE11" s="563"/>
      <c r="AF11" s="551" t="str">
        <f>IF(ISNUMBER(IF(J_V="SI",Datos!L11,Datos!L11+Datos!AB11)-IF(Monitorios="SI",Datos!CD11,0)),
                          IF(J_V="SI",Datos!L11,Datos!L11+Datos!AB11)-IF(Monitorios="SI",Datos!CD11,0),
                          " - ")</f>
        <v xml:space="preserve"> - </v>
      </c>
      <c r="AG11" s="549"/>
      <c r="AH11" s="549">
        <f>IF(ISNUMBER(Datos!AB11),Datos!AB11,"-")</f>
        <v>178</v>
      </c>
      <c r="AI11" s="549"/>
      <c r="AJ11" s="549"/>
      <c r="AK11" s="549"/>
      <c r="AL11" s="550"/>
      <c r="AM11" s="766">
        <f>IF(ISNUMBER(Datos!R11),Datos!R11," - ")</f>
        <v>671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115</v>
      </c>
      <c r="BD11" s="693">
        <f>IF(ISNUMBER(Datos!N11),Datos!N11," - ")</f>
        <v>284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0.76627712854757934</v>
      </c>
      <c r="BH11" s="764">
        <f>IF(ISNUMBER(((IF(J_V="SI",Datos!L11/Datos!K11,(Datos!L11+Datos!AB11)/(Datos!K11+Datos!AA11)))*11)/factor_trimestre),((IF(J_V="SI",Datos!L11/Datos!K11,(Datos!L11+Datos!AB11)/(Datos!K11+Datos!AA11)))*11)/factor_trimestre," - ")</f>
        <v>4.3616557734204795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-5.758426966292135E-2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117</v>
      </c>
      <c r="G14" s="1197">
        <f t="shared" si="1"/>
        <v>117</v>
      </c>
      <c r="H14" s="1198">
        <f t="shared" si="1"/>
        <v>0</v>
      </c>
      <c r="I14" s="1197">
        <f t="shared" si="1"/>
        <v>0</v>
      </c>
      <c r="J14" s="1164">
        <f t="shared" si="1"/>
        <v>0</v>
      </c>
      <c r="K14" s="1164">
        <f t="shared" si="1"/>
        <v>0</v>
      </c>
      <c r="L14" s="1198">
        <f t="shared" si="1"/>
        <v>0</v>
      </c>
      <c r="M14" s="1198">
        <f t="shared" si="1"/>
        <v>0</v>
      </c>
      <c r="N14" s="1198">
        <f t="shared" si="1"/>
        <v>331</v>
      </c>
      <c r="O14" s="1199">
        <f t="shared" si="1"/>
        <v>0</v>
      </c>
      <c r="P14" s="1199">
        <f t="shared" si="1"/>
        <v>0</v>
      </c>
      <c r="Q14" s="1198">
        <f t="shared" si="1"/>
        <v>459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716</v>
      </c>
      <c r="AD14" s="1198">
        <f t="shared" si="2"/>
        <v>0</v>
      </c>
      <c r="AE14" s="1198">
        <f t="shared" si="2"/>
        <v>0</v>
      </c>
      <c r="AF14" s="1198">
        <f t="shared" si="2"/>
        <v>98</v>
      </c>
      <c r="AG14" s="1198">
        <f t="shared" si="2"/>
        <v>0</v>
      </c>
      <c r="AH14" s="1198">
        <f t="shared" si="2"/>
        <v>297</v>
      </c>
      <c r="AI14" s="1198">
        <f t="shared" si="2"/>
        <v>0</v>
      </c>
      <c r="AJ14" s="1198">
        <f t="shared" si="2"/>
        <v>0</v>
      </c>
      <c r="AK14" s="1198">
        <f t="shared" si="2"/>
        <v>0</v>
      </c>
      <c r="AL14" s="1198">
        <f t="shared" si="2"/>
        <v>0</v>
      </c>
      <c r="AM14" s="1198">
        <f t="shared" si="2"/>
        <v>8998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393</v>
      </c>
      <c r="BD14" s="1198">
        <f t="shared" si="2"/>
        <v>1471</v>
      </c>
      <c r="BE14" s="1198">
        <f t="shared" si="2"/>
        <v>0</v>
      </c>
      <c r="BF14" s="1198">
        <f t="shared" si="2"/>
        <v>0</v>
      </c>
      <c r="BG14" s="1198">
        <f>IF(ISNUMBER(Datos!K14/Datos!J14),Datos!K14/Datos!J14," - ")</f>
        <v>0.89500998003992016</v>
      </c>
      <c r="BH14" s="1202">
        <f>IF(ISNUMBER(((Datos!L14/Datos!K14)*11)/factor_trimestre),((Datos!L14/Datos!K14)*11)/factor_trimestre," - ")</f>
        <v>4.517395182872435</v>
      </c>
      <c r="BI14" s="1198">
        <f>IF(ISNUMBER('Resol  Asuntos'!D14/NºAsuntos!G14),'Resol  Asuntos'!D14/NºAsuntos!G14," - ")</f>
        <v>0.15582870737509913</v>
      </c>
      <c r="BJ14" s="1198" t="str">
        <f>IF(ISNUMBER(Datos!CI14/Datos!CJ14),Datos!CI14/Datos!CJ14," - ")</f>
        <v xml:space="preserve"> - </v>
      </c>
      <c r="BK14" s="1198">
        <f>SUBTOTAL(9,BK8:BK13)</f>
        <v>0</v>
      </c>
      <c r="BL14" s="1198">
        <f>IF(ISNUMBER((I14-AB14+L14)/(F14)),(I14-AB14+L14)/(F14)," - ")</f>
        <v>-0.41880341880341881</v>
      </c>
      <c r="BM14" s="1203">
        <f>SUBTOTAL(9,BM9:BM13)</f>
        <v>-5.4117298227978464E-2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1752</v>
      </c>
      <c r="G16" s="743">
        <f>IF(ISNUMBER(IF(D_I="SI",Datos!I16,Datos!I16+Datos!AC16)),IF(D_I="SI",Datos!I16,Datos!I16+Datos!AC16)," - ")</f>
        <v>1683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3267</v>
      </c>
      <c r="AC16" s="240">
        <f>IF(ISNUMBER(Datos!Q16),Datos!Q16," - ")</f>
        <v>99</v>
      </c>
      <c r="AD16" s="374"/>
      <c r="AE16" s="562"/>
      <c r="AF16" s="741">
        <f>IF(ISNUMBER(IF(D_I="SI",Datos!L16,Datos!L16+Datos!AF16)),IF(D_I="SI",Datos!L16,Datos!L16+Datos!AF16)," - ")</f>
        <v>1882</v>
      </c>
      <c r="AG16" s="374"/>
      <c r="AH16" s="374"/>
      <c r="AI16" s="374"/>
      <c r="AJ16" s="549"/>
      <c r="AK16" s="374"/>
      <c r="AL16" s="545"/>
      <c r="AM16" s="375">
        <f>IF(ISNUMBER(Datos!R16),Datos!R16," - ")</f>
        <v>467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195</v>
      </c>
      <c r="BD16" s="243">
        <f>IF(ISNUMBER(Datos!N16),Datos!N16," - ")</f>
        <v>2098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0.96173093906387985</v>
      </c>
      <c r="BH16" s="764">
        <f>IF(ISNUMBER(((IF(D_I="SI",Datos!L16/Datos!K16,(Datos!L16+Datos!AF16)/(Datos!K16+Datos!AE16)))*11)/factor_trimestre),((IF(D_I="SI",Datos!L16/Datos!K16,(Datos!L16+Datos!AF16)/(Datos!K16+Datos!AE16)))*11)/factor_trimestre," - ")</f>
        <v>1.1521273339455158</v>
      </c>
      <c r="BI16" s="266">
        <f>IF(ISNUMBER('Resol  Asuntos'!D16/NºAsuntos!G16),'Resol  Asuntos'!D16/NºAsuntos!G16," - ")</f>
        <v>5.968778696051423E-2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579</v>
      </c>
      <c r="AC18" s="547">
        <f>IF(ISNUMBER(Datos!Q18),Datos!Q18," - ")</f>
        <v>0</v>
      </c>
      <c r="AD18" s="549"/>
      <c r="AE18" s="562"/>
      <c r="AF18" s="551">
        <f>IF(ISNUMBER(Datos!L18),Datos!L18,"-")</f>
        <v>392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0.94146341463414629</v>
      </c>
      <c r="BH18" s="764">
        <f>IF(ISNUMBER(((IF(D_I="SI",Datos!L18/Datos!K18,(Datos!L18+Datos!AF18)/(Datos!K18+Datos!AE18)))*11)/factor_trimestre),((IF(D_I="SI",Datos!L18/Datos!K18,(Datos!L18+Datos!AF18)/(Datos!K18+Datos!AE18)))*11)/factor_trimestre," - ")</f>
        <v>1.3540587219343696</v>
      </c>
      <c r="BI18" s="763">
        <f>IF(ISNUMBER('Resol  Asuntos'!D18/NºAsuntos!G18),'Resol  Asuntos'!D18/NºAsuntos!G18," - ")</f>
        <v>1.7271157167530225E-2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1752</v>
      </c>
      <c r="G23" s="1197">
        <f>SUBTOTAL(9,G16:G22)</f>
        <v>2036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3846</v>
      </c>
      <c r="AC23" s="1198">
        <f t="shared" si="5"/>
        <v>99</v>
      </c>
      <c r="AD23" s="1198">
        <f t="shared" si="5"/>
        <v>0</v>
      </c>
      <c r="AE23" s="1198">
        <f t="shared" si="5"/>
        <v>0</v>
      </c>
      <c r="AF23" s="1198">
        <f t="shared" si="5"/>
        <v>2274</v>
      </c>
      <c r="AG23" s="1198">
        <f t="shared" si="5"/>
        <v>0</v>
      </c>
      <c r="AH23" s="1198">
        <f t="shared" si="5"/>
        <v>0</v>
      </c>
      <c r="AI23" s="1198">
        <f t="shared" si="5"/>
        <v>0</v>
      </c>
      <c r="AJ23" s="1198">
        <f t="shared" si="5"/>
        <v>0</v>
      </c>
      <c r="AK23" s="1198">
        <f t="shared" si="5"/>
        <v>0</v>
      </c>
      <c r="AL23" s="1198">
        <f t="shared" si="5"/>
        <v>0</v>
      </c>
      <c r="AM23" s="1198">
        <f t="shared" si="5"/>
        <v>473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205</v>
      </c>
      <c r="BD23" s="1198">
        <f t="shared" si="5"/>
        <v>2480</v>
      </c>
      <c r="BE23" s="1198">
        <f t="shared" si="5"/>
        <v>0</v>
      </c>
      <c r="BF23" s="1198">
        <f t="shared" si="5"/>
        <v>0</v>
      </c>
      <c r="BG23" s="1198">
        <f>IF(ISNUMBER(Datos!K23/Datos!J23),Datos!K23/Datos!J23," - ")</f>
        <v>0.95862412761714855</v>
      </c>
      <c r="BH23" s="1202">
        <f>IF(ISNUMBER(((Datos!L23/Datos!K23)*11)/factor_trimestre),((Datos!L23/Datos!K23)*11)/factor_trimestre," - ")</f>
        <v>1.1825273010920436</v>
      </c>
      <c r="BI23" s="1198">
        <f>SUBTOTAL(9,BI16:BI22)</f>
        <v>7.6958944128044451E-2</v>
      </c>
      <c r="BJ23" s="1198">
        <f>SUBTOTAL(9,BJ16:BJ22)</f>
        <v>0</v>
      </c>
      <c r="BK23" s="1198">
        <f>SUBTOTAL(9,BK16:BK22)</f>
        <v>0</v>
      </c>
      <c r="BL23" s="1198">
        <f>IF(ISNUMBER((I23-AB23+L23)/(F23)),(I23-AB23+L23)/(F23)," - ")</f>
        <v>-2.1952054794520546</v>
      </c>
      <c r="BM23" s="1205">
        <f>IF(ISNUMBER((Datos!P23-Datos!Q23)/(Datos!R23-Datos!P23+Datos!Q23)),(Datos!P23-Datos!Q23)/(Datos!R23-Datos!P23+Datos!Q23)," - ")</f>
        <v>8.9861751152073732E-2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1869</v>
      </c>
      <c r="G31" s="1117">
        <f t="shared" si="18"/>
        <v>2153</v>
      </c>
      <c r="H31" s="1119">
        <f t="shared" si="18"/>
        <v>0</v>
      </c>
      <c r="I31" s="1117">
        <f t="shared" si="18"/>
        <v>0</v>
      </c>
      <c r="J31" s="1119">
        <f t="shared" si="18"/>
        <v>0</v>
      </c>
      <c r="K31" s="1119">
        <f t="shared" si="18"/>
        <v>0</v>
      </c>
      <c r="L31" s="1180">
        <f t="shared" si="18"/>
        <v>0</v>
      </c>
      <c r="M31" s="1180">
        <f t="shared" si="18"/>
        <v>0</v>
      </c>
      <c r="N31" s="1180">
        <f t="shared" si="18"/>
        <v>331</v>
      </c>
      <c r="O31" s="1180">
        <f t="shared" si="18"/>
        <v>0</v>
      </c>
      <c r="P31" s="1180">
        <f t="shared" si="18"/>
        <v>0</v>
      </c>
      <c r="Q31" s="1119">
        <f t="shared" si="18"/>
        <v>597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3895</v>
      </c>
      <c r="AC31" s="1118">
        <f t="shared" si="19"/>
        <v>815</v>
      </c>
      <c r="AD31" s="1118">
        <f t="shared" si="19"/>
        <v>0</v>
      </c>
      <c r="AE31" s="1118">
        <f t="shared" si="19"/>
        <v>0</v>
      </c>
      <c r="AF31" s="1125">
        <f t="shared" si="19"/>
        <v>2372</v>
      </c>
      <c r="AG31" s="1125">
        <f t="shared" si="19"/>
        <v>0</v>
      </c>
      <c r="AH31" s="1125">
        <f t="shared" si="19"/>
        <v>297</v>
      </c>
      <c r="AI31" s="1125">
        <f t="shared" si="19"/>
        <v>0</v>
      </c>
      <c r="AJ31" s="1118">
        <f t="shared" si="19"/>
        <v>0</v>
      </c>
      <c r="AK31" s="1125">
        <f t="shared" si="19"/>
        <v>0</v>
      </c>
      <c r="AL31" s="1125">
        <f t="shared" si="19"/>
        <v>0</v>
      </c>
      <c r="AM31" s="1125">
        <f t="shared" si="19"/>
        <v>9471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598</v>
      </c>
      <c r="BD31" s="1117">
        <f t="shared" si="19"/>
        <v>3951</v>
      </c>
      <c r="BE31" s="1117">
        <f t="shared" si="19"/>
        <v>0</v>
      </c>
      <c r="BF31" s="1127">
        <f t="shared" si="19"/>
        <v>0</v>
      </c>
      <c r="BG31" s="1223">
        <f>IF(ISNUMBER(Datos!K31/Datos!J31),Datos!K31/Datos!J31," - ")</f>
        <v>0.93417216510664414</v>
      </c>
      <c r="BH31" s="1223">
        <f>IF(ISNUMBER(((Datos!L31/Datos!K31)*11)/factor_trimestre),((Datos!L31/Datos!K31)*11)/factor_trimestre," - ")</f>
        <v>2.4106438896189224</v>
      </c>
      <c r="BI31" s="1103">
        <f>IF(ISNUMBER(Datos!J31/Datos!I31),Datos!J31/Datos!I31," - ")</f>
        <v>0.95333528379169108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-2.0840021401819153</v>
      </c>
      <c r="BM31" s="1188">
        <f>IF(ISNUMBER((Datos!P31-Datos!Q31+R31)/(Datos!R31-Datos!P31+Datos!Q31-R31)),(Datos!P31-Datos!Q31+R31)/(Datos!R31-Datos!P31+Datos!Q31-R31)," - ")</f>
        <v>-2.2499741975436062E-2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2.7144835701531846</v>
      </c>
      <c r="F33" s="673">
        <f>IF(ISNUMBER(STDEV(F8:F30)),STDEV(F8:F30),"-")</f>
        <v>876.08355765874296</v>
      </c>
      <c r="G33" s="674">
        <f>IF(ISNUMBER(STDEV(G8:G30)),STDEV(G8:G30),"-")</f>
        <v>864.19199806744894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1689.9650320417313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140.6604461499789</v>
      </c>
      <c r="BD33" s="673"/>
      <c r="BE33" s="673">
        <f>IF(ISNUMBER(STDEV(BE8:BE30)),STDEV(BE8:BE30),"-")</f>
        <v>0</v>
      </c>
      <c r="BF33" s="678">
        <f>IF(ISNUMBER(STDEV(BF8:BF30)),STDEV(BF8:BF30),"-")</f>
        <v>0</v>
      </c>
      <c r="BG33" s="1052">
        <f>IF(ISNUMBER(STDEV(BG8:BG30)),STDEV(BG8:BG30),"-")</f>
        <v>0.28294015860857702</v>
      </c>
      <c r="BH33" s="1058">
        <f>IF(ISNUMBER(STDEV(BH8:BH30)),STDEV(BH8:BH30),"-")</f>
        <v>1.6379151087960881</v>
      </c>
      <c r="BI33" s="273">
        <f>IF(ISNUMBER(STDEV(BI8:BI30)),STDEV(BI8:BI30),"-")</f>
        <v>5.7966805240497549E-2</v>
      </c>
      <c r="BJ33" s="244" t="str">
        <f>IF(ISNUMBER(BL33/BM33),BL33/BM33," - ")</f>
        <v xml:space="preserve"> - </v>
      </c>
      <c r="BK33" s="709"/>
      <c r="BL33" s="681">
        <f>IF(ISNUMBER(STDEV(BL8:BL30)),STDEV(BL8:BL30),"-")</f>
        <v>1.2561059431984074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uAVlHt82B3+Mlqmd9rXwsACwpbXMiaowMfwBpvG2DI3ig4qIY5Pcmpot4wBWzW2JJ8f18pJvEqH889oCai1nw==" saltValue="9n8tMCXOlGadZMHxXXSk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ALCALA DE HENARES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414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633</v>
      </c>
      <c r="AA9" s="551" t="str">
        <f>IF(ISNUMBER(IF(J_V="SI",Datos!L9,Datos!L9+Datos!AB9)-IF(Monitorios="SI",Datos!CD9,0)),
                          IF(J_V="SI",Datos!L9,Datos!L9+Datos!AB9)-IF(Monitorios="SI",Datos!CD9,0),
                          " - ")</f>
        <v xml:space="preserve"> - </v>
      </c>
      <c r="AB9" s="549"/>
      <c r="AC9" s="549"/>
      <c r="AD9" s="563"/>
      <c r="AE9" s="563">
        <f>IF(ISNUMBER(Datos!R9),Datos!R9," - ")</f>
        <v>8222</v>
      </c>
      <c r="AF9" s="693" t="str">
        <f>IF(ISNUMBER(Datos!BV9),Datos!BV9," - ")</f>
        <v xml:space="preserve"> - </v>
      </c>
      <c r="AG9" s="552" t="str">
        <f>IF(ISNUMBER(Datos!DV9),Datos!DV9," - ")</f>
        <v xml:space="preserve"> - </v>
      </c>
      <c r="AH9" s="553"/>
      <c r="AI9" s="554"/>
      <c r="AJ9" s="552">
        <f>IF(ISNUMBER(Datos!M9),Datos!M9," - ")</f>
        <v>263</v>
      </c>
      <c r="AK9" s="693">
        <f>IF(ISNUMBER(Datos!N9),Datos!N9," - ")</f>
        <v>1184</v>
      </c>
      <c r="AL9" s="693" t="str">
        <f>IF(ISNUMBER(Datos!BW9),Datos!BW9," - ")</f>
        <v xml:space="preserve"> - </v>
      </c>
      <c r="AM9" s="762" t="str">
        <f>IF(ISNUMBER(Datos!BX9),Datos!BX9," - ")</f>
        <v xml:space="preserve"> - </v>
      </c>
      <c r="AN9" s="763"/>
      <c r="AO9" s="764">
        <f>IF(ISNUMBER(((NºAsuntos!I9/NºAsuntos!G9)*11)/factor_trimestre),((NºAsuntos!I9/NºAsuntos!G9)*11)/factor_trimestre," - ")</f>
        <v>4.2323733862959285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-2.5944793270939463E-2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117</v>
      </c>
      <c r="G10" s="552">
        <f>IF(ISNUMBER(Datos!I10),Datos!I10," - ")</f>
        <v>117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1</v>
      </c>
      <c r="AA10" s="551">
        <f>IF(ISNUMBER(Datos!L10),Datos!L10,"-")</f>
        <v>98</v>
      </c>
      <c r="AB10" s="549"/>
      <c r="AC10" s="549"/>
      <c r="AD10" s="563"/>
      <c r="AE10" s="563">
        <f>IF(ISNUMBER(Datos!R10),Datos!R10," - ")</f>
        <v>105</v>
      </c>
      <c r="AF10" s="693" t="str">
        <f>IF(ISNUMBER(Datos!BV10),Datos!BV10," - ")</f>
        <v xml:space="preserve"> - </v>
      </c>
      <c r="AG10" s="552" t="str">
        <f>IF(ISNUMBER(Datos!DV10),Datos!DV10," - ")</f>
        <v xml:space="preserve"> - </v>
      </c>
      <c r="AH10" s="553"/>
      <c r="AI10" s="554"/>
      <c r="AJ10" s="552">
        <f>IF(ISNUMBER(Datos!M10),Datos!M10," - ")</f>
        <v>15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2.9411764705882353E-2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82</v>
      </c>
      <c r="AA11" s="551" t="str">
        <f>IF(ISNUMBER(IF(J_V="SI",Datos!L11,Datos!L11+Datos!AB11)-IF(Monitorios="SI",Datos!CD11,0)),
                          IF(J_V="SI",Datos!L11,Datos!L11+Datos!AB11)-IF(Monitorios="SI",Datos!CD11,0),
                          " - ")</f>
        <v xml:space="preserve"> - </v>
      </c>
      <c r="AB11" s="549"/>
      <c r="AC11" s="549"/>
      <c r="AD11" s="563"/>
      <c r="AE11" s="563">
        <f>IF(ISNUMBER(Datos!R11),Datos!R11," - ")</f>
        <v>671</v>
      </c>
      <c r="AF11" s="693" t="str">
        <f>IF(ISNUMBER(Datos!BV11),Datos!BV11," - ")</f>
        <v xml:space="preserve"> - </v>
      </c>
      <c r="AG11" s="552" t="str">
        <f>IF(ISNUMBER(Datos!DV11),Datos!DV11," - ")</f>
        <v xml:space="preserve"> - </v>
      </c>
      <c r="AH11" s="553"/>
      <c r="AI11" s="554"/>
      <c r="AJ11" s="552">
        <f>IF(ISNUMBER(Datos!M11),Datos!M11," - ")</f>
        <v>115</v>
      </c>
      <c r="AK11" s="693">
        <f>IF(ISNUMBER(Datos!N11),Datos!N11," - ")</f>
        <v>284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4.3616557734204795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-5.758426966292135E-2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117</v>
      </c>
      <c r="G14" s="1197">
        <f>SUBTOTAL(9,G8:G13)</f>
        <v>117</v>
      </c>
      <c r="H14" s="1211"/>
      <c r="I14" s="1197">
        <f t="shared" ref="I14:N14" si="1">SUBTOTAL(9,I8:I13)</f>
        <v>0</v>
      </c>
      <c r="J14" s="1164">
        <f t="shared" si="1"/>
        <v>0</v>
      </c>
      <c r="K14" s="1211">
        <f t="shared" si="1"/>
        <v>0</v>
      </c>
      <c r="L14" s="1211">
        <f t="shared" si="1"/>
        <v>0</v>
      </c>
      <c r="M14" s="1211">
        <f t="shared" si="1"/>
        <v>0</v>
      </c>
      <c r="N14" s="1211">
        <f t="shared" si="1"/>
        <v>459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716</v>
      </c>
      <c r="AA14" s="1199">
        <f t="shared" si="3"/>
        <v>98</v>
      </c>
      <c r="AB14" s="1199">
        <f t="shared" si="3"/>
        <v>0</v>
      </c>
      <c r="AC14" s="1199">
        <f t="shared" si="3"/>
        <v>0</v>
      </c>
      <c r="AD14" s="1199">
        <f t="shared" si="3"/>
        <v>0</v>
      </c>
      <c r="AE14" s="1199">
        <f t="shared" si="3"/>
        <v>8998</v>
      </c>
      <c r="AF14" s="1211">
        <f t="shared" si="3"/>
        <v>0</v>
      </c>
      <c r="AG14" s="1211">
        <f t="shared" si="3"/>
        <v>0</v>
      </c>
      <c r="AH14" s="1211">
        <f t="shared" si="3"/>
        <v>0</v>
      </c>
      <c r="AI14" s="1211">
        <f t="shared" si="3"/>
        <v>0</v>
      </c>
      <c r="AJ14" s="1211">
        <f t="shared" si="3"/>
        <v>393</v>
      </c>
      <c r="AK14" s="1211">
        <f t="shared" si="3"/>
        <v>1471</v>
      </c>
      <c r="AL14" s="1211">
        <f t="shared" si="3"/>
        <v>0</v>
      </c>
      <c r="AM14" s="1211">
        <f t="shared" si="3"/>
        <v>0</v>
      </c>
      <c r="AN14" s="1211">
        <f t="shared" si="3"/>
        <v>0</v>
      </c>
      <c r="AO14" s="1203">
        <f>IF(ISNUMBER(((NºAsuntos!I14/NºAsuntos!G14)*11)/factor_trimestre),((NºAsuntos!I14/NºAsuntos!G14)*11)/factor_trimestre," - ")</f>
        <v>4.2513877874702617</v>
      </c>
      <c r="AP14" s="1213" t="str">
        <f>IF(ISNUMBER(Datos!CI14/Datos!CJ14),Datos!CI14/Datos!CJ14," - ")</f>
        <v xml:space="preserve"> - </v>
      </c>
      <c r="AQ14" s="1236">
        <f t="shared" ref="AQ14:AV14" si="4">SUBTOTAL(9,AQ9:AQ13)</f>
        <v>0</v>
      </c>
      <c r="AR14" s="1236">
        <f t="shared" si="4"/>
        <v>-5.4117298227978464E-2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1752</v>
      </c>
      <c r="G16" s="552">
        <f>IF(ISNUMBER(IF(D_I="SI",Datos!I16,Datos!I16+Datos!AC16)),IF(D_I="SI",Datos!I16,Datos!I16+Datos!AC16)," - ")</f>
        <v>1683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3267</v>
      </c>
      <c r="Z16" s="805">
        <f>IF(ISNUMBER(Datos!Q16),Datos!Q16," - ")</f>
        <v>99</v>
      </c>
      <c r="AA16" s="551">
        <f>IF(ISNUMBER(IF(D_I="SI",Datos!L16,Datos!L16+Datos!AF16)),IF(D_I="SI",Datos!L16,Datos!L16+Datos!AF16)," - ")</f>
        <v>1882</v>
      </c>
      <c r="AB16" s="549"/>
      <c r="AC16" s="549"/>
      <c r="AD16" s="563"/>
      <c r="AE16" s="563">
        <f>IF(ISNUMBER(Datos!R16),Datos!R16," - ")</f>
        <v>467</v>
      </c>
      <c r="AF16" s="693" t="str">
        <f>IF(ISNUMBER(Datos!BV16),Datos!BV16," - ")</f>
        <v xml:space="preserve"> - </v>
      </c>
      <c r="AG16" s="552"/>
      <c r="AH16" s="553"/>
      <c r="AI16" s="554"/>
      <c r="AJ16" s="552">
        <f>IF(ISNUMBER(Datos!M16),Datos!M16," - ")</f>
        <v>195</v>
      </c>
      <c r="AK16" s="693">
        <f>IF(ISNUMBER(Datos!N16),Datos!N16," - ")</f>
        <v>2098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1.1521273339455158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579</v>
      </c>
      <c r="Z18" s="805">
        <f>IF(ISNUMBER(Datos!Q18),Datos!Q18," - ")</f>
        <v>0</v>
      </c>
      <c r="AA18" s="551">
        <f>IF(ISNUMBER(Datos!L18),Datos!L18,"-")</f>
        <v>392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10</v>
      </c>
      <c r="AK18" s="693">
        <f>IF(ISNUMBER(Datos!N18),Datos!N18," - ")</f>
        <v>382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1.3540587219343696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1752</v>
      </c>
      <c r="G23" s="1197">
        <f>SUBTOTAL(9,G16:G22)</f>
        <v>2036</v>
      </c>
      <c r="H23" s="1240">
        <f>SUBTOTAL(9,H16:H22)</f>
        <v>0</v>
      </c>
      <c r="I23" s="1217">
        <f>SUBTOTAL(9,I16:I22)</f>
        <v>0</v>
      </c>
      <c r="J23" s="1164">
        <f>SUBTOTAL(9,J15:J22)</f>
        <v>0</v>
      </c>
      <c r="K23" s="1240">
        <f t="shared" ref="K23:S23" si="5">SUBTOTAL(9,K16:K22)</f>
        <v>0</v>
      </c>
      <c r="L23" s="1240">
        <f t="shared" si="5"/>
        <v>0</v>
      </c>
      <c r="M23" s="1240">
        <f t="shared" si="5"/>
        <v>0</v>
      </c>
      <c r="N23" s="1240">
        <f t="shared" si="5"/>
        <v>138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3846</v>
      </c>
      <c r="Z23" s="1240">
        <f t="shared" si="6"/>
        <v>99</v>
      </c>
      <c r="AA23" s="1240">
        <f t="shared" si="6"/>
        <v>2274</v>
      </c>
      <c r="AB23" s="1240">
        <f t="shared" si="6"/>
        <v>0</v>
      </c>
      <c r="AC23" s="1240">
        <f t="shared" si="6"/>
        <v>0</v>
      </c>
      <c r="AD23" s="1240">
        <f t="shared" si="6"/>
        <v>0</v>
      </c>
      <c r="AE23" s="1240">
        <f t="shared" si="6"/>
        <v>473</v>
      </c>
      <c r="AF23" s="1240">
        <f t="shared" si="6"/>
        <v>0</v>
      </c>
      <c r="AG23" s="1240">
        <f t="shared" si="6"/>
        <v>0</v>
      </c>
      <c r="AH23" s="1240">
        <f t="shared" si="6"/>
        <v>0</v>
      </c>
      <c r="AI23" s="1240">
        <f t="shared" si="6"/>
        <v>0</v>
      </c>
      <c r="AJ23" s="1240">
        <f t="shared" si="6"/>
        <v>205</v>
      </c>
      <c r="AK23" s="1240">
        <f t="shared" si="6"/>
        <v>2480</v>
      </c>
      <c r="AL23" s="1240">
        <f t="shared" si="6"/>
        <v>0</v>
      </c>
      <c r="AM23" s="1240">
        <f t="shared" si="6"/>
        <v>0</v>
      </c>
      <c r="AN23" s="1240">
        <f t="shared" si="6"/>
        <v>0</v>
      </c>
      <c r="AO23" s="1242">
        <f>IF(ISNUMBER(((NºAsuntos!I23/NºAsuntos!G23)*11)/factor_trimestre),((NºAsuntos!I23/NºAsuntos!G23)*11)/factor_trimestre," - ")</f>
        <v>1.1825273010920436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1869</v>
      </c>
      <c r="G31" s="1117">
        <f t="shared" si="12"/>
        <v>2153</v>
      </c>
      <c r="H31" s="1118">
        <f t="shared" si="12"/>
        <v>0</v>
      </c>
      <c r="I31" s="1117">
        <f t="shared" si="12"/>
        <v>0</v>
      </c>
      <c r="J31" s="1119">
        <f t="shared" si="12"/>
        <v>0</v>
      </c>
      <c r="K31" s="1117">
        <f t="shared" si="12"/>
        <v>0</v>
      </c>
      <c r="L31" s="1120">
        <f t="shared" si="12"/>
        <v>0</v>
      </c>
      <c r="M31" s="1117">
        <f t="shared" si="12"/>
        <v>0</v>
      </c>
      <c r="N31" s="1118">
        <f t="shared" si="12"/>
        <v>597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3895</v>
      </c>
      <c r="Z31" s="1124">
        <f t="shared" si="13"/>
        <v>815</v>
      </c>
      <c r="AA31" s="1125">
        <f t="shared" si="13"/>
        <v>2372</v>
      </c>
      <c r="AB31" s="1125">
        <f t="shared" si="13"/>
        <v>0</v>
      </c>
      <c r="AC31" s="1125">
        <f t="shared" si="13"/>
        <v>0</v>
      </c>
      <c r="AD31" s="1126">
        <f t="shared" si="13"/>
        <v>0</v>
      </c>
      <c r="AE31" s="1126">
        <f t="shared" si="13"/>
        <v>9471</v>
      </c>
      <c r="AF31" s="1127">
        <f t="shared" si="13"/>
        <v>0</v>
      </c>
      <c r="AG31" s="1128">
        <f t="shared" si="13"/>
        <v>0</v>
      </c>
      <c r="AH31" s="1129">
        <f t="shared" si="13"/>
        <v>0</v>
      </c>
      <c r="AI31" s="1127">
        <f t="shared" si="13"/>
        <v>0</v>
      </c>
      <c r="AJ31" s="1117">
        <f t="shared" si="13"/>
        <v>598</v>
      </c>
      <c r="AK31" s="1117">
        <f t="shared" si="13"/>
        <v>3951</v>
      </c>
      <c r="AL31" s="1117">
        <f t="shared" si="13"/>
        <v>0</v>
      </c>
      <c r="AM31" s="1130">
        <f t="shared" si="13"/>
        <v>0</v>
      </c>
      <c r="AN31" s="1120">
        <f>IF(ISNUMBER(Datos!K31/Datos!J31),Datos!K31/Datos!J31," - ")</f>
        <v>0.93417216510664414</v>
      </c>
      <c r="AO31" s="1120">
        <f>IF(ISNUMBER(FIND("06",Criterios!A8,1)),(IF(ISNUMBER(((Datos!R31/Datos!Q31)*11)/factor_trimestre),((Datos!R31/Datos!Q31)*11)/factor_trimestre," - ")),(IF(ISNUMBER(((Datos!L31/Datos!K31)*11)/factor_trimestre),((Datos!L31/Datos!K31)*11)/factor_trimestre," - ")))</f>
        <v>2.4106438896189224</v>
      </c>
      <c r="AP31" s="1131" t="str">
        <f>IF(ISNUMBER(Datos!CI31/Datos!CJ31),Datos!CI31/Datos!CJ31," - ")</f>
        <v xml:space="preserve"> - </v>
      </c>
      <c r="AQ31" s="1131">
        <f>IF(OR(ISNUMBER(FIND("01",Criterios!A8,1)),ISNUMBER(FIND("02",Criterios!A8,1)),ISNUMBER(FIND("03",Criterios!A8,1)),ISNUMBER(FIND("04",Criterios!A8,1))),(J31-Y31+K31)/(F31-K31),(I31-Y31+K31)/(F31-K31))</f>
        <v>-2.0840021401819153</v>
      </c>
      <c r="AR31" s="1131">
        <f>IF(ISNUMBER((Datos!P31-Datos!Q31+O31)/(Datos!R31-Datos!P31+Datos!Q31-O31)),(Datos!P31-Datos!Q31+O31)/(Datos!R31-Datos!P31+Datos!Q31-O31)," - ")</f>
        <v>-2.2499741975436062E-2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876.08355765874296</v>
      </c>
      <c r="G33" s="674">
        <f>IF(ISNUMBER(STDEV(G8:G30)),STDEV(G8:G30),"-")</f>
        <v>864.19199806744894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140.6604461499789</v>
      </c>
      <c r="AK33" s="276"/>
      <c r="AL33" s="276">
        <f>IF(ISNUMBER(STDEV(AL8:AL30)),STDEV(AL8:AL30),"-")</f>
        <v>0</v>
      </c>
      <c r="AM33" s="278">
        <f>IF(ISNUMBER(STDEV(AM8:AM30)),STDEV(AM8:AM30),"-")</f>
        <v>0</v>
      </c>
      <c r="AN33" s="660">
        <f>IF(ISNUMBER(STDEV(AN8:AN30)),STDEV(AN8:AN30),"-")</f>
        <v>0</v>
      </c>
      <c r="AO33" s="661">
        <f>IF(ISNUMBER(STDEV(AO8:AO30)),STDEV(AO8:AO30),"-")</f>
        <v>1.5986859268455997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d8VyviAj2sGPhY4EDSlafx/h4LIava2UgFp9qrxo37Y7ZZGq4bDfyQei+NTyO0JTVN1r1breAN9K0oF/yCL2g==" saltValue="5TwLlWUfw1seFpCIY2Lh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9ZK4IBizAytxI4S26cNZ/ZDimYyZX7zGKrDW+iwjkHJ3Gda8YPhe71Ma6mywvFWSASl1eixhRP2iOVaN9VJPQ==" saltValue="uKHcTc4FIIBYpX3LZf9X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zLFNTWS4fzcN81N8VvShtkMrCsdRWuSFXh0QErkbO0TKNUQlqgQFpq2NBY2tiJcdPVtloPQ9f0BU45ly001Q==" saltValue="UzPRiK/UM7Kbu8Z5WwcX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ALCALA DE HENARES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0.15582870737509913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0.11018753568846676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I31ZjixOA4NEAU3B2zR4bI60wX5hlccpe4e5E8BBlivRpFqklfLCnNC+T26vmzTeYu0wn//IyWpk+jzlTYi5Q==" saltValue="P63VAMyiOkoh7o8feFaw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rW1tOqYs2tBtf2bu18AUhzqkk9tnj5aEOEP9A42aogPE8wvW5TFPkaQWfU+IP69x6hKk6SmPunWlVIr/h2qPA==" saltValue="AF2XF8AlY6byBfgGJJb6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ALCALA DE HENARES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4068</v>
      </c>
      <c r="D9" s="452">
        <f>IF(ISNUMBER(C9/Datos!BH9),C9/Datos!BH9," - ")</f>
        <v>813.6</v>
      </c>
      <c r="E9" s="451">
        <f>IF(ISNUMBER(IF(J_V="SI",Datos!J9,Datos!J9+Datos!Z9)),IF(J_V="SI",Datos!J9,Datos!J9+Datos!Z9)," - ")</f>
        <v>2207</v>
      </c>
      <c r="F9" s="452">
        <f>IF(ISNUMBER(E9/B9),E9/B9," - ")</f>
        <v>441.4</v>
      </c>
      <c r="G9" s="451">
        <f>IF(ISNUMBER(IF(J_V="SI",Datos!K9,Datos!K9+Datos!AA9)),IF(J_V="SI",Datos!K9,Datos!K9+Datos!AA9)," - ")</f>
        <v>2014</v>
      </c>
      <c r="H9" s="452">
        <f>IF(ISNUMBER(G9/B9),G9/B9," - ")</f>
        <v>402.8</v>
      </c>
      <c r="I9" s="451">
        <f>IF(ISNUMBER(IF(J_V="SI",Datos!L9,Datos!L9+Datos!AB9)),IF(J_V="SI",Datos!L9,Datos!L9+Datos!AB9)," - ")</f>
        <v>4262</v>
      </c>
      <c r="J9" s="452">
        <f>IF(ISNUMBER(I9/B9),I9/B9," - ")</f>
        <v>852.4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117</v>
      </c>
      <c r="D10" s="452">
        <f>IF(ISNUMBER(C10/Datos!BH10),C10/Datos!BH10," - ")</f>
        <v>117</v>
      </c>
      <c r="E10" s="451">
        <f>IF(ISNUMBER(Datos!J10),Datos!J10," - ")</f>
        <v>30</v>
      </c>
      <c r="F10" s="452">
        <f>IF(ISNUMBER(E10/B10),E10/B10," - ")</f>
        <v>30</v>
      </c>
      <c r="G10" s="451">
        <f>IF(ISNUMBER(Datos!K10),Datos!K10," - ")</f>
        <v>49</v>
      </c>
      <c r="H10" s="452">
        <f>IF(ISNUMBER(G10/B10),G10/B10," - ")</f>
        <v>49</v>
      </c>
      <c r="I10" s="451">
        <f>IF(ISNUMBER(Datos!L10),Datos!L10," - ")</f>
        <v>98</v>
      </c>
      <c r="J10" s="452">
        <f>IF(ISNUMBER(I10/B10),I10/B10," - ")</f>
        <v>98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861</v>
      </c>
      <c r="D11" s="452">
        <f>IF(ISNUMBER(C11/Datos!BH11),C11/Datos!BH11," - ")</f>
        <v>430.5</v>
      </c>
      <c r="E11" s="451">
        <f>IF(ISNUMBER(IF(J_V="SI",Datos!J11,Datos!J11+Datos!Z11)),IF(J_V="SI",Datos!J11,Datos!J11+Datos!Z11)," - ")</f>
        <v>599</v>
      </c>
      <c r="F11" s="452">
        <f>IF(ISNUMBER(E11/B11),E11/B11," - ")</f>
        <v>299.5</v>
      </c>
      <c r="G11" s="451">
        <f>IF(ISNUMBER(IF(J_V="SI",Datos!K11,Datos!K11+Datos!AA11)),IF(J_V="SI",Datos!K11,Datos!K11+Datos!AA11)," - ")</f>
        <v>459</v>
      </c>
      <c r="H11" s="452">
        <f>IF(ISNUMBER(G11/B11),G11/B11," - ")</f>
        <v>229.5</v>
      </c>
      <c r="I11" s="451">
        <f>IF(ISNUMBER(IF(J_V="SI",Datos!L11,Datos!L11+Datos!AB11)),IF(J_V="SI",Datos!L11,Datos!L11+Datos!AB11)," - ")</f>
        <v>1001</v>
      </c>
      <c r="J11" s="452">
        <f>IF(ISNUMBER(I11/B11),I11/B11," - ")</f>
        <v>500.5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5046</v>
      </c>
      <c r="D14" s="1147" t="str">
        <f>IF(ISNUMBER(C14/Datos!BI14),C14/Datos!BI14," - ")</f>
        <v xml:space="preserve"> - </v>
      </c>
      <c r="E14" s="1146">
        <f>SUBTOTAL(9,E8:E13)</f>
        <v>2836</v>
      </c>
      <c r="F14" s="1147">
        <f>IF(ISNUMBER(E14/B14),E14/B14," - ")</f>
        <v>354.5</v>
      </c>
      <c r="G14" s="1146">
        <f>SUBTOTAL(9,G8:G13)</f>
        <v>2522</v>
      </c>
      <c r="H14" s="1147">
        <f>IF(ISNUMBER(G14/B14),G14/B14," - ")</f>
        <v>315.25</v>
      </c>
      <c r="I14" s="1146">
        <f>SUBTOTAL(9,I8:I13)</f>
        <v>5361</v>
      </c>
      <c r="J14" s="1147">
        <f>IF(ISNUMBER(I14/B14),I14/B14," - ")</f>
        <v>670.125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1683</v>
      </c>
      <c r="D16" s="452">
        <f>IF(ISNUMBER(C16/Datos!BH16),C16/Datos!BH16," - ")</f>
        <v>280.5</v>
      </c>
      <c r="E16" s="451">
        <f>IF(ISNUMBER(IF(D_I="SI",Datos!J16,Datos!J16+Datos!AD16)),IF(D_I="SI",Datos!J16,Datos!J16+Datos!AD16)," - ")</f>
        <v>3397</v>
      </c>
      <c r="F16" s="452">
        <f>IF(ISNUMBER(E16/B16),E16/B16," - ")</f>
        <v>566.16666666666663</v>
      </c>
      <c r="G16" s="451">
        <f>IF(ISNUMBER(IF(D_I="SI",Datos!K16,Datos!K16+Datos!AE16)),IF(D_I="SI",Datos!K16,Datos!K16+Datos!AE16)," - ")</f>
        <v>3267</v>
      </c>
      <c r="H16" s="452">
        <f>IF(ISNUMBER(G16/B16),G16/B16," - ")</f>
        <v>544.5</v>
      </c>
      <c r="I16" s="451">
        <f>IF(ISNUMBER(IF(D_I="SI",Datos!L16,Datos!L16+Datos!AF16)),IF(D_I="SI",Datos!L16,Datos!L16+Datos!AF16)," - ")</f>
        <v>1882</v>
      </c>
      <c r="J16" s="452">
        <f>IF(ISNUMBER(I16/B16),I16/B16," - ")</f>
        <v>313.66666666666669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353</v>
      </c>
      <c r="D18" s="452">
        <f>IF(ISNUMBER(C18/Datos!BH18),C18/Datos!BH18," - ")</f>
        <v>353</v>
      </c>
      <c r="E18" s="451">
        <f>IF(ISNUMBER(IF(D_I="SI",Datos!J18,Datos!J18+Datos!AD18)),IF(D_I="SI",Datos!J18,Datos!J18+Datos!AD18)," - ")</f>
        <v>615</v>
      </c>
      <c r="F18" s="452">
        <f>IF(ISNUMBER(E18/B18),E18/B18," - ")</f>
        <v>615</v>
      </c>
      <c r="G18" s="451">
        <f>IF(ISNUMBER(IF(D_I="SI",Datos!K18,Datos!K18+Datos!AE18)),IF(D_I="SI",Datos!K18,Datos!K18+Datos!AE18)," - ")</f>
        <v>579</v>
      </c>
      <c r="H18" s="452">
        <f>IF(ISNUMBER(G18/B18),G18/B18," - ")</f>
        <v>579</v>
      </c>
      <c r="I18" s="451">
        <f>IF(ISNUMBER(IF(D_I="SI",Datos!L18,Datos!L18+Datos!AF18)),IF(D_I="SI",Datos!L18,Datos!L18+Datos!AF18)," - ")</f>
        <v>392</v>
      </c>
      <c r="J18" s="452">
        <f>IF(ISNUMBER(I18/B18),I18/B18," - ")</f>
        <v>392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2036</v>
      </c>
      <c r="D23" s="1147" t="str">
        <f>IF(ISNUMBER(C23/Datos!BI23),C23/Datos!BI23," - ")</f>
        <v xml:space="preserve"> - </v>
      </c>
      <c r="E23" s="1146">
        <f>SUBTOTAL(9,E15:E22)</f>
        <v>4012</v>
      </c>
      <c r="F23" s="1147">
        <f>IF(ISNUMBER(E23/B23),E23/B23," - ")</f>
        <v>573.14285714285711</v>
      </c>
      <c r="G23" s="1146">
        <f>SUBTOTAL(9,G15:G22)</f>
        <v>3846</v>
      </c>
      <c r="H23" s="1147">
        <f>IF(ISNUMBER(G23/B23),G23/B23," - ")</f>
        <v>549.42857142857144</v>
      </c>
      <c r="I23" s="1146">
        <f>SUBTOTAL(9,I15:I22)</f>
        <v>2274</v>
      </c>
      <c r="J23" s="1147">
        <f>IF(ISNUMBER(I23/B23),I23/B23," - ")</f>
        <v>324.85714285714283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7082</v>
      </c>
      <c r="D31" s="1085" t="str">
        <f>IF(ISNUMBER(C31/Datos!BI31),C31/Datos!BI31," - ")</f>
        <v xml:space="preserve"> - </v>
      </c>
      <c r="E31" s="1084">
        <f>SUBTOTAL(9,E9:E30)</f>
        <v>6848</v>
      </c>
      <c r="F31" s="1085">
        <f>IF(ISNUMBER(E31/B31),E31/B31," - ")</f>
        <v>489.14285714285717</v>
      </c>
      <c r="G31" s="1084">
        <f>SUBTOTAL(9,G9:G30)</f>
        <v>6368</v>
      </c>
      <c r="H31" s="1085">
        <f>IF(ISNUMBER(G31/B31),G31/B31," - ")</f>
        <v>454.85714285714283</v>
      </c>
      <c r="I31" s="1084">
        <f>SUBTOTAL(9,I9:I30)</f>
        <v>7635</v>
      </c>
      <c r="J31" s="1085">
        <f>IF(ISNUMBER(I31/B31),I31/B31," - ")</f>
        <v>545.35714285714289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2Df/aGVvGPSrpIF49VDiWlUkqHSPwuEMHq6Ai9lMWyIfzpAel2GyT5BNIIgiWQBGS/bCAI1iGgTB53IFQPxkg==" saltValue="S/qXa9hBG/vsy4FtylKd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ALCALA DE HENARES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117</v>
      </c>
      <c r="G10" s="906">
        <f>IF(ISNUMBER(Datos!I10),Datos!I10," - ")</f>
        <v>117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98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117</v>
      </c>
      <c r="G14" s="1256">
        <f t="shared" si="0"/>
        <v>117</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0</v>
      </c>
      <c r="AE14" s="1257">
        <f t="shared" si="1"/>
        <v>0</v>
      </c>
      <c r="AF14" s="1257">
        <f t="shared" si="1"/>
        <v>98</v>
      </c>
      <c r="AG14" s="1257">
        <f t="shared" si="1"/>
        <v>0</v>
      </c>
      <c r="AH14" s="1257">
        <f t="shared" si="1"/>
        <v>0</v>
      </c>
      <c r="AI14" s="1257">
        <f t="shared" si="1"/>
        <v>0</v>
      </c>
      <c r="AJ14" s="1257">
        <f t="shared" si="1"/>
        <v>0</v>
      </c>
      <c r="AK14" s="1257">
        <f t="shared" si="1"/>
        <v>0</v>
      </c>
      <c r="AL14" s="1257">
        <f t="shared" si="1"/>
        <v>15</v>
      </c>
      <c r="AM14" s="1257">
        <f t="shared" si="1"/>
        <v>3</v>
      </c>
      <c r="AN14" s="1257">
        <f t="shared" si="1"/>
        <v>0</v>
      </c>
      <c r="AO14" s="1257">
        <f t="shared" si="1"/>
        <v>0</v>
      </c>
      <c r="AP14" s="1262">
        <f>IF(ISNUMBER(((Datos!L14/Datos!K14)*11)/factor_trimestre),((Datos!L14/Datos!K14)*11)/factor_trimestre," - ")</f>
        <v>4.517395182872435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-0.41880341880341881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1.1825273010920436</v>
      </c>
      <c r="AQ23" s="1262">
        <f>IF(ISNUMBER(((Datos!M23/Datos!L23)*11)/factor_trimestre),((Datos!M23/Datos!L23)*11)/factor_trimestre," - ")</f>
        <v>0.18029903254177659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8.9861751152073732E-2</v>
      </c>
      <c r="AW23" s="1265">
        <f>IF(ISNUMBER((Datos!Q23-Datos!R23)/(Datos!S23-Datos!Q23+Datos!R23)),(Datos!Q23-Datos!R23)/(Datos!S23-Datos!Q23+Datos!R23)," - ")</f>
        <v>-0.14960000000000001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117</v>
      </c>
      <c r="G31" s="1278">
        <f t="shared" si="8"/>
        <v>117</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0</v>
      </c>
      <c r="AE31" s="1284">
        <f t="shared" si="9"/>
        <v>0</v>
      </c>
      <c r="AF31" s="1285">
        <f t="shared" si="9"/>
        <v>98</v>
      </c>
      <c r="AG31" s="1285">
        <f t="shared" si="9"/>
        <v>0</v>
      </c>
      <c r="AH31" s="1285">
        <f t="shared" si="9"/>
        <v>0</v>
      </c>
      <c r="AI31" s="1285">
        <f t="shared" si="9"/>
        <v>0</v>
      </c>
      <c r="AJ31" s="1286">
        <f t="shared" si="9"/>
        <v>0</v>
      </c>
      <c r="AK31" s="1286">
        <f t="shared" si="9"/>
        <v>0</v>
      </c>
      <c r="AL31" s="1278">
        <f t="shared" si="9"/>
        <v>15</v>
      </c>
      <c r="AM31" s="1278">
        <f t="shared" si="9"/>
        <v>3</v>
      </c>
      <c r="AN31" s="1278">
        <f t="shared" si="9"/>
        <v>0</v>
      </c>
      <c r="AO31" s="1278">
        <f t="shared" si="9"/>
        <v>0</v>
      </c>
      <c r="AP31" s="1278">
        <f>IF(ISNUMBER(((Datos!L31/Datos!K31)*11)/factor_trimestre),((Datos!L31/Datos!K31)*11)/factor_trimestre," - ")</f>
        <v>2.4106438896189224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-0.41880341880341881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-2.2499741975436062E-2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64.083539228104428</v>
      </c>
      <c r="G33" s="1007">
        <f>IF(ISNUMBER(STDEV(G8:G30)),STDEV(G8:G30),"-")</f>
        <v>64.083539228104428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1.7947699004460023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wiT3SU8AYZVGoYuj1Is1yfvQVvcyL+8EtRN9zOidZtkP7qzGCT76LgDJY8rIgadzpwm9l1VNxmPcuExegwW/A==" saltValue="4glLc++V4W8LRkHJQ+P6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ALCALA DE HENARES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OCNY6+E1PO7RpuBPIkKLN73B1iNy6PJKNFxeC2jFLwPpqi+9H4QxcrIQ8qAS2o7YnXGejJb+Lwe4tpLB8jIg==" saltValue="ssSh4IjXiGJ4zGwB8jtG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ALCALA DE HENARES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263</v>
      </c>
      <c r="E9" s="452">
        <f t="shared" ref="E9:E14" si="0">IF(ISNUMBER(D9/B9),D9/B9," - ")</f>
        <v>52.6</v>
      </c>
      <c r="F9" s="451">
        <f>IF(ISNUMBER(Datos!N9),Datos!N9," - ")</f>
        <v>1184</v>
      </c>
      <c r="G9" s="452">
        <f t="shared" ref="G9:G14" si="1">IF(ISNUMBER(F9/B9),F9/B9," - ")</f>
        <v>236.8</v>
      </c>
      <c r="H9" s="451">
        <f>IF(ISNUMBER(Datos!O9),Datos!O9," - ")</f>
        <v>729</v>
      </c>
      <c r="I9" s="452">
        <f>IF(ISNUMBER(H9/B9),H9/B9," - ")</f>
        <v>145.80000000000001</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2</v>
      </c>
      <c r="C11" s="458">
        <f>Datos!AQ11</f>
        <v>2</v>
      </c>
      <c r="D11" s="451">
        <f>IF(ISNUMBER(Datos!M11),Datos!M11," - ")</f>
        <v>115</v>
      </c>
      <c r="E11" s="452">
        <f t="shared" si="0"/>
        <v>57.5</v>
      </c>
      <c r="F11" s="451">
        <f>IF(ISNUMBER(Datos!N11),Datos!N11," - ")</f>
        <v>284</v>
      </c>
      <c r="G11" s="452">
        <f t="shared" si="1"/>
        <v>142</v>
      </c>
      <c r="H11" s="451">
        <f>IF(ISNUMBER(Datos!O11),Datos!O11," - ")</f>
        <v>88</v>
      </c>
      <c r="I11" s="452">
        <f t="shared" si="2"/>
        <v>44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393</v>
      </c>
      <c r="E14" s="1147">
        <f t="shared" si="0"/>
        <v>49.125</v>
      </c>
      <c r="F14" s="1146">
        <f>SUBTOTAL(9,F9:F13)</f>
        <v>1471</v>
      </c>
      <c r="G14" s="1147">
        <f t="shared" si="1"/>
        <v>183.875</v>
      </c>
      <c r="H14" s="1146">
        <f>SUBTOTAL(9,H9:H13)</f>
        <v>820</v>
      </c>
      <c r="I14" s="1147">
        <f>IF(ISNUMBER(H14/B14),H14/B14," - ")</f>
        <v>102.5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195</v>
      </c>
      <c r="E16" s="452">
        <f t="shared" ref="E16:E23" si="3">IF(ISNUMBER(D16/B16),D16/B16," - ")</f>
        <v>32.5</v>
      </c>
      <c r="F16" s="451">
        <f>IF(ISNUMBER(Datos!N16),Datos!N16," - ")</f>
        <v>2098</v>
      </c>
      <c r="G16" s="452">
        <f t="shared" ref="G16:G23" si="4">IF(ISNUMBER(F16/B16),F16/B16," - ")</f>
        <v>349.66666666666669</v>
      </c>
      <c r="H16" s="451">
        <f>IF(ISNUMBER(Datos!O16),Datos!O16," - ")</f>
        <v>19</v>
      </c>
      <c r="I16" s="452">
        <f t="shared" ref="I16:I22" si="5">IF(ISNUMBER(H16/B16),H16/B16," - ")</f>
        <v>3.1666666666666665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382</v>
      </c>
      <c r="G18" s="452">
        <f>IF(ISNUMBER(F18/B18),F18/B18," - ")</f>
        <v>382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205</v>
      </c>
      <c r="E23" s="1147">
        <f t="shared" si="3"/>
        <v>29.285714285714285</v>
      </c>
      <c r="F23" s="1146">
        <f>SUBTOTAL(9,F16:F22)</f>
        <v>2480</v>
      </c>
      <c r="G23" s="1147">
        <f t="shared" si="4"/>
        <v>354.28571428571428</v>
      </c>
      <c r="H23" s="1146">
        <f>SUBTOTAL(9,H16:H22)</f>
        <v>19</v>
      </c>
      <c r="I23" s="1147">
        <f>IF(ISNUMBER(H23/B23),H23/B23," - ")</f>
        <v>2.7142857142857144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598</v>
      </c>
      <c r="E31" s="1085">
        <f>IF(ISNUMBER(D31/B31),D31/B31," - ")</f>
        <v>42.714285714285715</v>
      </c>
      <c r="F31" s="1084">
        <f>SUBTOTAL(9,F8:F30)</f>
        <v>3951</v>
      </c>
      <c r="G31" s="1085">
        <f>IF(ISNUMBER(F31/B31),F31/B31," - ")</f>
        <v>282.21428571428572</v>
      </c>
      <c r="H31" s="1084">
        <f>SUBTOTAL(9,H8:H30)</f>
        <v>839</v>
      </c>
      <c r="I31" s="1085">
        <f>IF(ISNUMBER(H31/B31),H31/B31," - ")</f>
        <v>59.928571428571431</v>
      </c>
    </row>
    <row r="34" spans="1:1">
      <c r="A34" s="439" t="str">
        <f>Criterios!A4</f>
        <v>Fecha Informe: 06 may. 2023</v>
      </c>
    </row>
    <row r="39" spans="1:1">
      <c r="A39" s="462"/>
    </row>
  </sheetData>
  <sheetProtection algorithmName="SHA-512" hashValue="27Ro/RNls+ONw4RbwQ+2a/seWucSJAp7k44pgu4gSr5ZOF3jYuExCtXemlVK9VY4F0F0MDD59dF8T/UF2qepBw==" saltValue="q7jzTEK9NMNLfr1hA0jY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ALCALA DE HENARES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414</v>
      </c>
      <c r="C9" s="489">
        <f>IF(ISNUMBER(Datos!Q9),Datos!Q9," - ")</f>
        <v>633</v>
      </c>
      <c r="D9" s="456">
        <f>IF(ISNUMBER(Datos!R9),Datos!R9," - ")</f>
        <v>8222</v>
      </c>
    </row>
    <row r="10" spans="1:4">
      <c r="A10" s="450" t="str">
        <f>Datos!A10</f>
        <v>Jdos. Violencia contra la mujer</v>
      </c>
      <c r="B10" s="488">
        <f>IF(ISNUMBER(Datos!P10),Datos!P10," - ")</f>
        <v>4</v>
      </c>
      <c r="C10" s="489">
        <f>IF(ISNUMBER(Datos!Q10),Datos!Q10," - ")</f>
        <v>1</v>
      </c>
      <c r="D10" s="456">
        <f>IF(ISNUMBER(Datos!R10),Datos!R10," - ")</f>
        <v>105</v>
      </c>
    </row>
    <row r="11" spans="1:4">
      <c r="A11" s="450" t="str">
        <f>Datos!A11</f>
        <v xml:space="preserve">Jdos. Familia                                   </v>
      </c>
      <c r="B11" s="488">
        <f>IF(ISNUMBER(Datos!P11),Datos!P11," - ")</f>
        <v>41</v>
      </c>
      <c r="C11" s="489">
        <f>IF(ISNUMBER(Datos!Q11),Datos!Q11," - ")</f>
        <v>82</v>
      </c>
      <c r="D11" s="456">
        <f>IF(ISNUMBER(Datos!R11),Datos!R11," - ")</f>
        <v>671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459</v>
      </c>
      <c r="C14" s="1150">
        <f>SUBTOTAL(9,C9:C13)</f>
        <v>716</v>
      </c>
      <c r="D14" s="1148">
        <f>SUBTOTAL(9,D9:D13)</f>
        <v>8998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138</v>
      </c>
      <c r="C16" s="489">
        <f>IF(ISNUMBER(Datos!Q16),Datos!Q16," - ")</f>
        <v>99</v>
      </c>
      <c r="D16" s="456">
        <f>IF(ISNUMBER(Datos!R16),Datos!R16," - ")</f>
        <v>467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138</v>
      </c>
      <c r="C23" s="1150">
        <f>SUBTOTAL(9,C16:C22)</f>
        <v>99</v>
      </c>
      <c r="D23" s="1148">
        <f>SUBTOTAL(9,D16:D22)</f>
        <v>473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597</v>
      </c>
      <c r="C31" s="1089">
        <f>SUBTOTAL(9,C8:C30)</f>
        <v>815</v>
      </c>
      <c r="D31" s="1090">
        <f>SUBTOTAL(9,D8:D30)</f>
        <v>9471</v>
      </c>
    </row>
    <row r="32" spans="1:4" ht="7.5" customHeight="1"/>
    <row r="33" spans="1:1" ht="6" customHeight="1"/>
    <row r="34" spans="1:1">
      <c r="A34" s="439" t="str">
        <f>Criterios!A4</f>
        <v>Fecha Informe: 06 may. 2023</v>
      </c>
    </row>
    <row r="39" spans="1:1">
      <c r="A39" s="462"/>
    </row>
  </sheetData>
  <sheetProtection algorithmName="SHA-512" hashValue="EzJq4szTByLjJHjVFubwqQwqdn84xQrq6v1ir7Sim1nm73X+6LdnGmbmRJ9JT5SaiXYI4r2pMoE4UY5xsBtLNw==" saltValue="1gT7wHAt6CxiGkzmAdAL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ALCALA DE HENARES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0.34036243822075785</v>
      </c>
      <c r="C9" s="515">
        <f>IF(ISNUMBER(
   IF(J_V="SI",(Datos!J9-Datos!T9)/Datos!T9,(Datos!J9+Datos!Z9-(Datos!T9+Datos!AH9))/(Datos!T9+Datos!AH9))
     ),IF(J_V="SI",(Datos!J9-Datos!T9)/Datos!T9,(Datos!J9+Datos!Z9-(Datos!T9+Datos!AH9))/(Datos!T9+Datos!AH9))," - ")</f>
        <v>6.156806156806157E-2</v>
      </c>
      <c r="D9" s="515">
        <f>IF(ISNUMBER(
   IF(J_V="SI",(Datos!K9-Datos!U9)/Datos!U9,(Datos!K9+Datos!AA9-(Datos!U9+Datos!AI9))/(Datos!U9+Datos!AI9))
     ),IF(J_V="SI",(Datos!K9-Datos!U9)/Datos!U9,(Datos!K9+Datos!AA9-(Datos!U9+Datos!AI9))/(Datos!U9+Datos!AI9))," - ")</f>
        <v>0.19171597633136095</v>
      </c>
      <c r="E9" s="515">
        <f>IF(ISNUMBER(
   IF(J_V="SI",(Datos!L9-Datos!V9)/Datos!V9,(Datos!L9+Datos!AB9-(Datos!V9+Datos!AJ9))/(Datos!V9+Datos!AJ9))
     ),IF(J_V="SI",(Datos!L9-Datos!V9)/Datos!V9,(Datos!L9+Datos!AB9-(Datos!V9+Datos!AJ9))/(Datos!V9+Datos!AJ9))," - ")</f>
        <v>0.24765807962529274</v>
      </c>
      <c r="F9" s="515">
        <f>IF(ISNUMBER((Datos!M9-Datos!W9)/Datos!W9),(Datos!M9-Datos!W9)/Datos!W9," - ")</f>
        <v>0.315</v>
      </c>
      <c r="G9" s="516">
        <f>IF(ISNUMBER((Datos!N9-Datos!X9)/Datos!X9),(Datos!N9-Datos!X9)/Datos!X9," - ")</f>
        <v>0.18994974874371859</v>
      </c>
      <c r="H9" s="514">
        <f>IF(ISNUMBER(((NºAsuntos!G9/NºAsuntos!E9)-Datos!BD9)/Datos!BD9),((NºAsuntos!G9/NºAsuntos!E9)-Datos!BD9)/Datos!BD9," - ")</f>
        <v>0.12259968953008581</v>
      </c>
      <c r="I9" s="515">
        <f>IF(ISNUMBER(((NºAsuntos!I9/NºAsuntos!G9)-Datos!BE9)/Datos!BE9),((NºAsuntos!I9/NºAsuntos!G9)-Datos!BE9)/Datos!BE9," - ")</f>
        <v>4.6942479923904934E-2</v>
      </c>
      <c r="J9" s="521">
        <f>IF(ISNUMBER((('Resol  Asuntos'!D9/NºAsuntos!G9)-Datos!BF9)/Datos!BF9),(('Resol  Asuntos'!D9/NºAsuntos!G9)-Datos!BF9)/Datos!BF9," - ")</f>
        <v>-0.77820083535852047</v>
      </c>
      <c r="K9" s="522">
        <f>IF(ISNUMBER((((NºAsuntos!C9+NºAsuntos!E9)/NºAsuntos!G9)-Datos!BG9)/Datos!BG9),(((NºAsuntos!C9+NºAsuntos!E9)/NºAsuntos!G9)-Datos!BG9)/Datos!BG9," - ")</f>
        <v>2.962776404045361E-2</v>
      </c>
    </row>
    <row r="10" spans="1:11">
      <c r="A10" s="450" t="str">
        <f>Datos!A10</f>
        <v>Jdos. Violencia contra la mujer</v>
      </c>
      <c r="B10" s="514">
        <f>IF(ISNUMBER((Datos!I10-Datos!S10)/Datos!S10),(Datos!I10-Datos!S10)/Datos!S10," - ")</f>
        <v>0.20618556701030927</v>
      </c>
      <c r="C10" s="515">
        <f>IF(ISNUMBER((Datos!J10-Datos!T10)/Datos!T10),(Datos!J10-Datos!T10)/Datos!T10," - ")</f>
        <v>0.2</v>
      </c>
      <c r="D10" s="515">
        <f>IF(ISNUMBER((Datos!K10-Datos!U10)/Datos!U10),(Datos!K10-Datos!U10)/Datos!U10," - ")</f>
        <v>2.7692307692307692</v>
      </c>
      <c r="E10" s="515">
        <f>IF(ISNUMBER((Datos!L10-Datos!V10)/Datos!V10),(Datos!L10-Datos!V10)/Datos!V10," - ")</f>
        <v>-0.10091743119266056</v>
      </c>
      <c r="F10" s="515">
        <f>IF(ISNUMBER((Datos!M10-Datos!W10)/Datos!W10),(Datos!M10-Datos!W10)/Datos!W10," - ")</f>
        <v>0.36363636363636365</v>
      </c>
      <c r="G10" s="516">
        <f>IF(ISNUMBER((Datos!N10-Datos!X10)/Datos!X10),(Datos!N10-Datos!X10)/Datos!X10," - ")</f>
        <v>-0.5</v>
      </c>
      <c r="H10" s="514">
        <f>IF(ISNUMBER(((NºAsuntos!G10/NºAsuntos!E10)-Datos!BD10)/Datos!BD10),((NºAsuntos!G10/NºAsuntos!E10)-Datos!BD10)/Datos!BD10," - ")</f>
        <v>2.141025641025641</v>
      </c>
      <c r="I10" s="515">
        <f>IF(ISNUMBER(((NºAsuntos!I10/NºAsuntos!G10)-Datos!BE10)/Datos!BE10),((NºAsuntos!I10/NºAsuntos!G10)-Datos!BE10)/Datos!BE10," - ")</f>
        <v>-0.76146788990825687</v>
      </c>
      <c r="J10" s="521">
        <f>IF(ISNUMBER((('Resol  Asuntos'!D10/NºAsuntos!G10)-Datos!BF10)/Datos!BF10),(('Resol  Asuntos'!D10/NºAsuntos!G10)-Datos!BF10)/Datos!BF10," - ")</f>
        <v>-0.63821892393320967</v>
      </c>
      <c r="K10" s="522">
        <f>IF(ISNUMBER((((NºAsuntos!C10+NºAsuntos!E10)/NºAsuntos!G10)-Datos!BG10)/Datos!BG10),(((NºAsuntos!C10+NºAsuntos!E10)/NºAsuntos!G10)-Datos!BG10)/Datos!BG10," - ")</f>
        <v>-0.68032786885245899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-0.34375</v>
      </c>
      <c r="C11" s="515">
        <f>IF(ISNUMBER(
   IF(J_V="SI",(Datos!J11-Datos!T11)/Datos!T11,(Datos!J11+Datos!Z11-(Datos!T11+Datos!AH11))/(Datos!T11+Datos!AH11))
     ),IF(J_V="SI",(Datos!J11-Datos!T11)/Datos!T11,(Datos!J11+Datos!Z11-(Datos!T11+Datos!AH11))/(Datos!T11+Datos!AH11))," - ")</f>
        <v>0.36446469248291574</v>
      </c>
      <c r="D11" s="515">
        <f>IF(ISNUMBER(
   IF(J_V="SI",(Datos!K11-Datos!U11)/Datos!U11,(Datos!K11+Datos!AA11-(Datos!U11+Datos!AI11))/(Datos!U11+Datos!AI11))
     ),IF(J_V="SI",(Datos!K11-Datos!U11)/Datos!U11,(Datos!K11+Datos!AA11-(Datos!U11+Datos!AI11))/(Datos!U11+Datos!AI11))," - ")</f>
        <v>0.14749999999999999</v>
      </c>
      <c r="E11" s="515">
        <f>IF(ISNUMBER(
   IF(J_V="SI",(Datos!L11-Datos!V11)/Datos!V11,(Datos!L11+Datos!AB11-(Datos!V11+Datos!AJ11))/(Datos!V11+Datos!AJ11))
     ),IF(J_V="SI",(Datos!L11-Datos!V11)/Datos!V11,(Datos!L11+Datos!AB11-(Datos!V11+Datos!AJ11))/(Datos!V11+Datos!AJ11))," - ")</f>
        <v>1.5212981744421906E-2</v>
      </c>
      <c r="F11" s="515">
        <f>IF(ISNUMBER((Datos!M11-Datos!W11)/Datos!W11),(Datos!M11-Datos!W11)/Datos!W11," - ")</f>
        <v>6.4814814814814811E-2</v>
      </c>
      <c r="G11" s="516">
        <f>IF(ISNUMBER((Datos!N11-Datos!X11)/Datos!X11),(Datos!N11-Datos!X11)/Datos!X11," - ")</f>
        <v>0.109375</v>
      </c>
      <c r="H11" s="514">
        <f>IF(ISNUMBER(((NºAsuntos!G11/NºAsuntos!E11)-Datos!BD11)/Datos!BD11),((NºAsuntos!G11/NºAsuntos!E11)-Datos!BD11)/Datos!BD11," - ")</f>
        <v>-0.15901085141903165</v>
      </c>
      <c r="I11" s="515">
        <f>IF(ISNUMBER(((NºAsuntos!I11/NºAsuntos!G11)-Datos!BE11)/Datos!BE11),((NºAsuntos!I11/NºAsuntos!G11)-Datos!BE11)/Datos!BE11," - ")</f>
        <v>-0.11528280458002439</v>
      </c>
      <c r="J11" s="521">
        <f>IF(ISNUMBER((('Resol  Asuntos'!D11/NºAsuntos!G11)-Datos!BF11)/Datos!BF11),(('Resol  Asuntos'!D11/NºAsuntos!G11)-Datos!BF11)/Datos!BF11," - ")</f>
        <v>-0.60852396514161222</v>
      </c>
      <c r="K11" s="522">
        <f>IF(ISNUMBER((((NºAsuntos!C11+NºAsuntos!E11)/NºAsuntos!G11)-Datos!BG11)/Datos!BG11),(((NºAsuntos!C11+NºAsuntos!E11)/NºAsuntos!G11)-Datos!BG11)/Datos!BG11," - ")</f>
        <v>-0.27336884369840331</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0.13546354635463545</v>
      </c>
      <c r="C14" s="1152">
        <f>IF(ISNUMBER(
   IF(J_V="SI",(Datos!J14-Datos!T14)/Datos!T14,(Datos!J14+Datos!Z14-(Datos!T14+Datos!AH14))/(Datos!T14+Datos!AH14))
     ),IF(J_V="SI",(Datos!J14-Datos!T14)/Datos!T14,(Datos!J14+Datos!Z14-(Datos!T14+Datos!AH14))/(Datos!T14+Datos!AH14))," - ")</f>
        <v>0.11521824616594574</v>
      </c>
      <c r="D14" s="1152">
        <f>IF(ISNUMBER(
   IF(J_V="SI",(Datos!K14-Datos!U14)/Datos!U14,(Datos!K14+Datos!AA14-(Datos!U14+Datos!AI14))/(Datos!U14+Datos!AI14))
     ),IF(J_V="SI",(Datos!K14-Datos!U14)/Datos!U14,(Datos!K14+Datos!AA14-(Datos!U14+Datos!AI14))/(Datos!U14+Datos!AI14))," - ")</f>
        <v>0.19923918212077985</v>
      </c>
      <c r="E14" s="1152">
        <f>IF(ISNUMBER(
   IF(J_V="SI",(Datos!L14-Datos!V14)/Datos!V14,(Datos!L14+Datos!AB14-(Datos!V14+Datos!AJ14))/(Datos!V14+Datos!AJ14))
     ),IF(J_V="SI",(Datos!L14-Datos!V14)/Datos!V14,(Datos!L14+Datos!AB14-(Datos!V14+Datos!AJ14))/(Datos!V14+Datos!AJ14))," - ")</f>
        <v>0.18842828641099535</v>
      </c>
      <c r="F14" s="1153">
        <f>IF(ISNUMBER((Datos!M14-Datos!W14)/Datos!W14),(Datos!M14-Datos!W14)/Datos!W14," - ")</f>
        <v>0.23197492163009403</v>
      </c>
      <c r="G14" s="1154">
        <f>IF(ISNUMBER((Datos!N14-Datos!X14)/Datos!X14),(Datos!N14-Datos!X14)/Datos!X14," - ")</f>
        <v>0.17024661893396978</v>
      </c>
      <c r="H14" s="1154">
        <f>IF(ISNUMBER(((NºAsuntos!G14/NºAsuntos!E14)-Datos!BD14)/Datos!BD14),((NºAsuntos!G14/NºAsuntos!E14)-Datos!BD14)/Datos!BD14," - ")</f>
        <v>7.5340352656256382E-2</v>
      </c>
      <c r="I14" s="1154">
        <f>IF(ISNUMBER(((NºAsuntos!I14/NºAsuntos!G14)-Datos!BE14)/Datos!BE14),((NºAsuntos!I14/NºAsuntos!G14)-Datos!BE14)/Datos!BE14," - ")</f>
        <v>-9.0147952726711729E-3</v>
      </c>
      <c r="J14" s="1154">
        <f>IF(ISNUMBER((('Resol  Asuntos'!D14/NºAsuntos!G14)-Datos!BF14)/Datos!BF14),(('Resol  Asuntos'!D14/NºAsuntos!G14)-Datos!BF14)/Datos!BF14," - ")</f>
        <v>-0.74032664690187522</v>
      </c>
      <c r="K14" s="1154">
        <f>IF(ISNUMBER((((NºAsuntos!C14+NºAsuntos!E14)/NºAsuntos!G14)-Datos!BG14)/Datos!BG14),(((NºAsuntos!C14+NºAsuntos!E14)/NºAsuntos!G14)-Datos!BG14)/Datos!BG14," - ")</f>
        <v>-5.9324402961112681E-2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-0.11234177215189874</v>
      </c>
      <c r="C16" s="515">
        <f>IF(ISNUMBER(
   IF(D_I="SI",(Datos!J16-Datos!T16)/Datos!T16,(Datos!J16+Datos!AD16-(Datos!T16+Datos!AL16))/(Datos!T16+Datos!AL16))
     ),IF(D_I="SI",(Datos!J16-Datos!T16)/Datos!T16,(Datos!J16+Datos!AD16-(Datos!T16+Datos!AL16))/(Datos!T16+Datos!AL16))," - ")</f>
        <v>1.3424821002386634E-2</v>
      </c>
      <c r="D16" s="515">
        <f>IF(ISNUMBER(
   IF(D_I="SI",(Datos!K16-Datos!U16)/Datos!U16,(Datos!K16+Datos!AE16-(Datos!U16+Datos!AM16))/(Datos!U16+Datos!AM16))
     ),IF(D_I="SI",(Datos!K16-Datos!U16)/Datos!U16,(Datos!K16+Datos!AE16-(Datos!U16+Datos!AM16))/(Datos!U16+Datos!AM16))," - ")</f>
        <v>1.8709073900841908E-2</v>
      </c>
      <c r="E16" s="515">
        <f>IF(ISNUMBER(
   IF(D_I="SI",(Datos!L16-Datos!V16)/Datos!V16,(Datos!L16+Datos!AF16-(Datos!V16+Datos!AN16))/(Datos!V16+Datos!AN16))
     ),IF(D_I="SI",(Datos!L16-Datos!V16)/Datos!V16,(Datos!L16+Datos!AF16-(Datos!V16+Datos!AN16))/(Datos!V16+Datos!AN16))," - ")</f>
        <v>-0.11268269684111268</v>
      </c>
      <c r="F16" s="515">
        <f>IF(ISNUMBER((Datos!M16-Datos!W16)/Datos!W16),(Datos!M16-Datos!W16)/Datos!W16," - ")</f>
        <v>0.21118012422360249</v>
      </c>
      <c r="G16" s="516">
        <f>IF(ISNUMBER((Datos!N16-Datos!X16)/Datos!X16),(Datos!N16-Datos!X16)/Datos!X16," - ")</f>
        <v>3.7073652990608011E-2</v>
      </c>
      <c r="H16" s="514">
        <f>IF(ISNUMBER(((NºAsuntos!G16/NºAsuntos!E16)-Datos!BD16)/Datos!BD16),((NºAsuntos!G16/NºAsuntos!E16)-Datos!BD16)/Datos!BD16," - ")</f>
        <v>5.2142524920876995E-3</v>
      </c>
      <c r="I16" s="515">
        <f>IF(ISNUMBER(((NºAsuntos!I16/NºAsuntos!G16)-Datos!BE16)/Datos!BE16),((NºAsuntos!I16/NºAsuntos!G16)-Datos!BE16)/Datos!BE16," - ")</f>
        <v>-0.12897869873567433</v>
      </c>
      <c r="J16" s="521">
        <f>IF(ISNUMBER((('Resol  Asuntos'!D16/NºAsuntos!G16)-Datos!BF16)/Datos!BF16),(('Resol  Asuntos'!D16/NºAsuntos!G16)-Datos!BF16)/Datos!BF16," - ")</f>
        <v>0.18893622846192012</v>
      </c>
      <c r="K16" s="522">
        <f>IF(ISNUMBER((((NºAsuntos!C16+NºAsuntos!E16)/NºAsuntos!G16)-Datos!BG16)/Datos!BG16),(((NºAsuntos!C16+NºAsuntos!E16)/NºAsuntos!G16)-Datos!BG16)/Datos!BG16," - ")</f>
        <v>-4.9789748930547099E-2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0.5347826086956522</v>
      </c>
      <c r="C18" s="515">
        <f>IF(ISNUMBER(
   IF(D_I="SI",(Datos!J18-Datos!T18)/Datos!T18,(Datos!J18+Datos!AD18-(Datos!T18+Datos!AL18))/(Datos!T18+Datos!AL18))
     ),IF(D_I="SI",(Datos!J18-Datos!T18)/Datos!T18,(Datos!J18+Datos!AD18-(Datos!T18+Datos!AL18))/(Datos!T18+Datos!AL18))," - ")</f>
        <v>0.58505154639175261</v>
      </c>
      <c r="D18" s="515">
        <f>IF(ISNUMBER(
   IF(D_I="SI",(Datos!K18-Datos!U18)/Datos!U18,(Datos!K18+Datos!AE18-(Datos!U18+Datos!AM18))/(Datos!U18+Datos!AM18))
     ),IF(D_I="SI",(Datos!K18-Datos!U18)/Datos!U18,(Datos!K18+Datos!AE18-(Datos!U18+Datos!AM18))/(Datos!U18+Datos!AM18))," - ")</f>
        <v>0.46954314720812185</v>
      </c>
      <c r="E18" s="515">
        <f>IF(ISNUMBER(
   IF(D_I="SI",(Datos!L18-Datos!V18)/Datos!V18,(Datos!L18+Datos!AF18-(Datos!V18+Datos!AN18))/(Datos!V18+Datos!AN18))
     ),IF(D_I="SI",(Datos!L18-Datos!V18)/Datos!V18,(Datos!L18+Datos!AF18-(Datos!V18+Datos!AN18))/(Datos!V18+Datos!AN18))," - ")</f>
        <v>0.72687224669603523</v>
      </c>
      <c r="F18" s="515">
        <f>IF(ISNUMBER((Datos!M18-Datos!W18)/Datos!W18),(Datos!M18-Datos!W18)/Datos!W18," - ")</f>
        <v>-0.54545454545454541</v>
      </c>
      <c r="G18" s="516">
        <f>IF(ISNUMBER((Datos!N18-Datos!X18)/Datos!X18),(Datos!N18-Datos!X18)/Datos!X18," - ")</f>
        <v>0.72072072072072069</v>
      </c>
      <c r="H18" s="514">
        <f>IF(ISNUMBER(((NºAsuntos!G18/NºAsuntos!E18)-Datos!BD18)/Datos!BD18),((NºAsuntos!G18/NºAsuntos!E18)-Datos!BD18)/Datos!BD18," - ")</f>
        <v>-7.2873591680079244E-2</v>
      </c>
      <c r="I18" s="515">
        <f>IF(ISNUMBER(((NºAsuntos!I18/NºAsuntos!G18)-Datos!BE18)/Datos!BE18),((NºAsuntos!I18/NºAsuntos!G18)-Datos!BE18)/Datos!BE18," - ")</f>
        <v>0.17510823004877007</v>
      </c>
      <c r="J18" s="521">
        <f>IF(ISNUMBER((('Resol  Asuntos'!D18/NºAsuntos!G18)-Datos!BF18)/Datos!BF18),(('Resol  Asuntos'!D18/NºAsuntos!G18)-Datos!BF18)/Datos!BF18," - ")</f>
        <v>-0.69068927618150422</v>
      </c>
      <c r="K18" s="522">
        <f>IF(ISNUMBER((((NºAsuntos!C18+NºAsuntos!E18)/NºAsuntos!G18)-Datos!BG18)/Datos!BG18),(((NºAsuntos!C18+NºAsuntos!E18)/NºAsuntos!G18)-Datos!BG18)/Datos!BG18," - ")</f>
        <v>6.5870740200434957E-2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-4.2333019755409221E-2</v>
      </c>
      <c r="C23" s="1152">
        <f>IF(ISNUMBER(
   IF(Criterios!B14="SI",(Datos!J23-Datos!T23)/Datos!T23,(Datos!J23+Datos!AD23-(Datos!T23+Datos!AL23))/(Datos!T23+Datos!AL23))
     ),IF(Criterios!B14="SI",(Datos!J23-Datos!T23)/Datos!T23,(Datos!J23+Datos!AD23-(Datos!T23+Datos!AL23))/(Datos!T23+Datos!AL23))," - ")</f>
        <v>7.2727272727272724E-2</v>
      </c>
      <c r="D23" s="1152">
        <f>IF(ISNUMBER(
   IF(Criterios!B14="SI",(Datos!K23-Datos!U23)/Datos!U23,(Datos!K23+Datos!AE23-(Datos!U23+Datos!AM23))/(Datos!U23+Datos!AM23))
     ),IF(Criterios!B14="SI",(Datos!K23-Datos!U23)/Datos!U23,(Datos!K23+Datos!AE23-(Datos!U23+Datos!AM23))/(Datos!U23+Datos!AM23))," - ")</f>
        <v>6.8036656484309913E-2</v>
      </c>
      <c r="E23" s="1152">
        <f>IF(ISNUMBER(
   IF(Criterios!B14="SI",(Datos!L23-Datos!V23)/Datos!V23,(Datos!L23+Datos!AF23-(Datos!V23+Datos!AN23))/(Datos!V23+Datos!AN23))
     ),IF(Criterios!B14="SI",(Datos!L23-Datos!V23)/Datos!V23,(Datos!L23+Datos!AF23-(Datos!V23+Datos!AN23))/(Datos!V23+Datos!AN23))," - ")</f>
        <v>-3.1516183986371377E-2</v>
      </c>
      <c r="F23" s="1153">
        <f>IF(ISNUMBER((Datos!M23-Datos!W23)/Datos!W23),(Datos!M23-Datos!W23)/Datos!W23," - ")</f>
        <v>0.12021857923497267</v>
      </c>
      <c r="G23" s="1154">
        <f>IF(ISNUMBER((Datos!N23-Datos!X23)/Datos!X23),(Datos!N23-Datos!X23)/Datos!X23," - ")</f>
        <v>0.10467706013363029</v>
      </c>
      <c r="H23" s="1154">
        <f>IF(ISNUMBER(((NºAsuntos!G23/NºAsuntos!E23)-Datos!BD23)/Datos!BD23),((NºAsuntos!G23/NºAsuntos!E23)-Datos!BD23)/Datos!BD23," - ")</f>
        <v>-4.372608362084039E-3</v>
      </c>
      <c r="I23" s="1154">
        <f>IF(ISNUMBER(((NºAsuntos!I23/NºAsuntos!G23)-Datos!BE23)/Datos!BE23),((NºAsuntos!I23/NºAsuntos!G23)-Datos!BE23)/Datos!BE23," - ")</f>
        <v>-9.3211070861914561E-2</v>
      </c>
      <c r="J23" s="1154">
        <f>IF(ISNUMBER((('Resol  Asuntos'!D23/NºAsuntos!G23)-Datos!BF23)/Datos!BF23),(('Resol  Asuntos'!D23/NºAsuntos!G23)-Datos!BF23)/Datos!BF23," - ")</f>
        <v>4.8857801306587866E-2</v>
      </c>
      <c r="K23" s="1154">
        <f>IF(ISNUMBER((((NºAsuntos!C23+NºAsuntos!E23)/NºAsuntos!G23)-Datos!BG23)/Datos!BG23),(((NºAsuntos!C23+NºAsuntos!E23)/NºAsuntos!G23)-Datos!BG23)/Datos!BG23," - ")</f>
        <v>-3.4652746491721231E-2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7.7929984779299855E-2</v>
      </c>
      <c r="C31" s="1092">
        <f>IF(ISNUMBER(
   IF(J_V="SI",(Datos!J31-Datos!T31)/Datos!T31,(Datos!J31+Datos!Z31-(Datos!T31+Datos!AH31))/(Datos!T31+Datos!AH31))
     ),IF(J_V="SI",(Datos!J31-Datos!T31)/Datos!T31,(Datos!J31+Datos!Z31-(Datos!T31+Datos!AH31))/(Datos!T31+Datos!AH31))," - ")</f>
        <v>8.9925194970555469E-2</v>
      </c>
      <c r="D31" s="1092">
        <f>IF(ISNUMBER(
   IF(J_V="SI",(Datos!K31-Datos!U31)/Datos!U31,(Datos!K31+Datos!AA31-(Datos!U31+Datos!AI31))/(Datos!U31+Datos!AI31))
     ),IF(J_V="SI",(Datos!K31-Datos!U31)/Datos!U31,(Datos!K31+Datos!AA31-(Datos!U31+Datos!AI31))/(Datos!U31+Datos!AI31))," - ")</f>
        <v>0.11640953716690042</v>
      </c>
      <c r="E31" s="1092">
        <f>IF(ISNUMBER(
   IF(J_V="SI",(Datos!L31-Datos!V31)/Datos!V31,(Datos!L31+Datos!AB31-(Datos!V31+Datos!AJ31))/(Datos!V31+Datos!AJ31))
     ),IF(J_V="SI",(Datos!L31-Datos!V31)/Datos!V31,(Datos!L31+Datos!AB31-(Datos!V31+Datos!AJ31))/(Datos!V31+Datos!AJ31))," - ")</f>
        <v>0.11313602565971716</v>
      </c>
      <c r="F31" s="1093">
        <f>IF(ISNUMBER((Datos!M31-Datos!W31)/Datos!W31),(Datos!M31-Datos!W31)/Datos!W31," - ")</f>
        <v>0.19123505976095617</v>
      </c>
      <c r="G31" s="1094">
        <f>IF(ISNUMBER((Datos!N31-Datos!X31)/Datos!X31),(Datos!N31-Datos!X31)/Datos!X31," - ")</f>
        <v>0.12821245002855511</v>
      </c>
      <c r="H31" s="1095">
        <f>IF(ISNUMBER((Tasas!B31-Datos!BD31)/Datos!BD31),(Tasas!B31-Datos!BD31)/Datos!BD31," - ")</f>
        <v>2.4299229266886029E-2</v>
      </c>
      <c r="I31" s="1096">
        <f>IF(ISNUMBER((Tasas!C31-Datos!BE31)/Datos!BE31),(Tasas!C31-Datos!BE31)/Datos!BE31," - ")</f>
        <v>-2.9321780208815006E-3</v>
      </c>
      <c r="J31" s="1097">
        <f>IF(ISNUMBER((Tasas!D31-Datos!BF31)/Datos!BF31),(Tasas!D31-Datos!BF31)/Datos!BF31," - ")</f>
        <v>-0.62931091443376053</v>
      </c>
      <c r="K31" s="1097">
        <f>IF(ISNUMBER((Tasas!E31-Datos!BG31)/Datos!BG31),(Tasas!E31-Datos!BG31)/Datos!BG31," - ")</f>
        <v>-2.9214969267875198E-2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Lak+81dFTopUBJyqc2/g8mPO3TmNQq/BxUTWWaHJsyMjUm3ueHOo1PTn7orWbpszb4+vvKsCLvPrIPbDU9/hQ==" saltValue="r/TnCybR70XqOmniBhtS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ALCALA DE HENARES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0.91255097417308562</v>
      </c>
      <c r="C9" s="498">
        <f>IF(ISNUMBER(NºAsuntos!I9/NºAsuntos!G9),NºAsuntos!I9/NºAsuntos!G9," - ")</f>
        <v>2.1161866931479643</v>
      </c>
      <c r="D9" s="499">
        <f>IF(ISNUMBER('Resol  Asuntos'!D9/NºAsuntos!G9),'Resol  Asuntos'!D9/NºAsuntos!G9," - ")</f>
        <v>0.13058589870903675</v>
      </c>
      <c r="E9" s="500">
        <f>IF(ISNUMBER((NºAsuntos!C9+NºAsuntos!E9)/NºAsuntos!G9),(NºAsuntos!C9+NºAsuntos!E9)/NºAsuntos!G9," - ")</f>
        <v>3.1156901688182721</v>
      </c>
      <c r="G9" s="523"/>
    </row>
    <row r="10" spans="1:7">
      <c r="A10" s="450" t="str">
        <f>Datos!A10</f>
        <v>Jdos. Violencia contra la mujer</v>
      </c>
      <c r="B10" s="497">
        <f>IF(ISNUMBER(NºAsuntos!G10/NºAsuntos!E10),NºAsuntos!G10/NºAsuntos!E10," - ")</f>
        <v>1.6333333333333333</v>
      </c>
      <c r="C10" s="498">
        <f>IF(ISNUMBER(NºAsuntos!I10/NºAsuntos!G10),NºAsuntos!I10/NºAsuntos!G10," - ")</f>
        <v>2</v>
      </c>
      <c r="D10" s="499">
        <f>IF(ISNUMBER('Resol  Asuntos'!D10/NºAsuntos!G10),'Resol  Asuntos'!D10/NºAsuntos!G10," - ")</f>
        <v>0.30612244897959184</v>
      </c>
      <c r="E10" s="500">
        <f>IF(ISNUMBER((NºAsuntos!C10+NºAsuntos!E10)/NºAsuntos!G10),(NºAsuntos!C10+NºAsuntos!E10)/NºAsuntos!G10," - ")</f>
        <v>3</v>
      </c>
      <c r="G10" s="523"/>
    </row>
    <row r="11" spans="1:7">
      <c r="A11" s="450" t="str">
        <f>Datos!A11</f>
        <v xml:space="preserve">Jdos. Familia                                   </v>
      </c>
      <c r="B11" s="497">
        <f>IF(ISNUMBER(NºAsuntos!G11/NºAsuntos!E11),NºAsuntos!G11/NºAsuntos!E11," - ")</f>
        <v>0.76627712854757934</v>
      </c>
      <c r="C11" s="498">
        <f>IF(ISNUMBER(NºAsuntos!I11/NºAsuntos!G11),NºAsuntos!I11/NºAsuntos!G11," - ")</f>
        <v>2.1808278867102397</v>
      </c>
      <c r="D11" s="499">
        <f>IF(ISNUMBER('Resol  Asuntos'!D11/NºAsuntos!G11),'Resol  Asuntos'!D11/NºAsuntos!G11," - ")</f>
        <v>0.25054466230936817</v>
      </c>
      <c r="E11" s="500">
        <f>IF(ISNUMBER((NºAsuntos!C11+NºAsuntos!E11)/NºAsuntos!G11),(NºAsuntos!C11+NºAsuntos!E11)/NºAsuntos!G11," - ")</f>
        <v>3.1808278867102397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0.88928067700987301</v>
      </c>
      <c r="C14" s="1156">
        <f>IF(ISNUMBER(NºAsuntos!I14/NºAsuntos!G14),NºAsuntos!I14/NºAsuntos!G14," - ")</f>
        <v>2.1256938937351308</v>
      </c>
      <c r="D14" s="1157">
        <f>IF(ISNUMBER('Resol  Asuntos'!D14/NºAsuntos!G14),'Resol  Asuntos'!D14/NºAsuntos!G14," - ")</f>
        <v>0.15582870737509913</v>
      </c>
      <c r="E14" s="1158">
        <f>IF(ISNUMBER((NºAsuntos!C14+NºAsuntos!E14)/NºAsuntos!G14),(NºAsuntos!C14+NºAsuntos!E14)/NºAsuntos!G14," - ")</f>
        <v>3.1252973830293418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0.96173093906387985</v>
      </c>
      <c r="C16" s="498">
        <f>IF(ISNUMBER(NºAsuntos!I16/NºAsuntos!G16),NºAsuntos!I16/NºAsuntos!G16," - ")</f>
        <v>0.5760636669727579</v>
      </c>
      <c r="D16" s="499">
        <f>IF(ISNUMBER('Resol  Asuntos'!D16/NºAsuntos!G16),'Resol  Asuntos'!D16/NºAsuntos!G16," - ")</f>
        <v>5.968778696051423E-2</v>
      </c>
      <c r="E16" s="500">
        <f>IF(ISNUMBER((NºAsuntos!C16+NºAsuntos!E16)/NºAsuntos!G16),(NºAsuntos!C16+NºAsuntos!E16)/NºAsuntos!G16," - ")</f>
        <v>1.5549433731251914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0.94146341463414629</v>
      </c>
      <c r="C18" s="498">
        <f>IF(ISNUMBER(NºAsuntos!I18/NºAsuntos!G18),NºAsuntos!I18/NºAsuntos!G18," - ")</f>
        <v>0.6770293609671848</v>
      </c>
      <c r="D18" s="499">
        <f>IF(ISNUMBER('Resol  Asuntos'!D18/NºAsuntos!G18),'Resol  Asuntos'!D18/NºAsuntos!G18," - ")</f>
        <v>1.7271157167530225E-2</v>
      </c>
      <c r="E18" s="500">
        <f>IF(ISNUMBER((NºAsuntos!C18+NºAsuntos!E18)/NºAsuntos!G18),(NºAsuntos!C18+NºAsuntos!E18)/NºAsuntos!G18," - ")</f>
        <v>1.6718480138169258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0.95862412761714855</v>
      </c>
      <c r="C23" s="1156">
        <f>IF(ISNUMBER(NºAsuntos!I23/NºAsuntos!G23),NºAsuntos!I23/NºAsuntos!G23," - ")</f>
        <v>0.59126365054602181</v>
      </c>
      <c r="D23" s="1159">
        <f>IF(ISNUMBER('Resol  Asuntos'!D23/NºAsuntos!G23),'Resol  Asuntos'!D23/NºAsuntos!G23," - ")</f>
        <v>5.3302132085283414E-2</v>
      </c>
      <c r="E23" s="1158">
        <f>IF(ISNUMBER((NºAsuntos!C23+NºAsuntos!E23)/NºAsuntos!G23),(NºAsuntos!C23+NºAsuntos!E23)/NºAsuntos!G23," - ")</f>
        <v>1.5725429017160686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0.92990654205607481</v>
      </c>
      <c r="C31" s="1099">
        <f>IF(ISNUMBER(NºAsuntos!I31/NºAsuntos!G31),NºAsuntos!I31/NºAsuntos!G31," - ")</f>
        <v>1.1989635678391959</v>
      </c>
      <c r="D31" s="1100">
        <f>IF(ISNUMBER('Resol  Asuntos'!D31/NºAsuntos!G31),'Resol  Asuntos'!D31/NºAsuntos!G31," - ")</f>
        <v>9.3907035175879394E-2</v>
      </c>
      <c r="E31" s="1101">
        <f>IF(ISNUMBER((NºAsuntos!C31+NºAsuntos!E31)/NºAsuntos!G31),(NºAsuntos!C31+NºAsuntos!E31)/NºAsuntos!G31," - ")</f>
        <v>2.1875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HWVmIieBOCAP5K5ShKufxqa+AK+DfXIZ5AgBYcz3tyzo5RZeJ53WSXbh3cfzWHSzAEK0Tvh/rABhekUpGtcBA==" saltValue="TE+RfstTF62o+XyYTMcp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ALCALA DE HENARES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414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633</v>
      </c>
      <c r="Y9" s="374">
        <f>SUM(W9:X9)</f>
        <v>633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8222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263</v>
      </c>
      <c r="AJ9" s="243" t="str">
        <f>IF(ISNUMBER(Datos!BW9),Datos!BW9," - ")</f>
        <v xml:space="preserve"> - </v>
      </c>
      <c r="AK9" s="242" t="str">
        <f>IF(ISNUMBER(Datos!BX9),Datos!BX9," - ")</f>
        <v xml:space="preserve"> - </v>
      </c>
      <c r="AL9" s="266">
        <f>IF(ISNUMBER(NºAsuntos!G9/NºAsuntos!E9),NºAsuntos!G9/NºAsuntos!E9," - ")</f>
        <v>0.91255097417308562</v>
      </c>
      <c r="AM9" s="284">
        <f>IF(ISNUMBER(((NºAsuntos!I9/NºAsuntos!G9)*11)/factor_trimestre),((NºAsuntos!I9/NºAsuntos!G9)*11)/factor_trimestre," - ")</f>
        <v>4.2323733862959285</v>
      </c>
      <c r="AN9" s="267">
        <f>IF(ISNUMBER('Resol  Asuntos'!D9/NºAsuntos!G9),'Resol  Asuntos'!D9/NºAsuntos!G9," - ")</f>
        <v>0.13058589870903675</v>
      </c>
      <c r="AO9" s="268">
        <f>IF(ISNUMBER((NºAsuntos!C9+NºAsuntos!E9)/NºAsuntos!G9),(NºAsuntos!C9+NºAsuntos!E9)/NºAsuntos!G9," - ")</f>
        <v>3.1156901688182721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117</v>
      </c>
      <c r="G10" s="373">
        <f>IF(ISNUMBER(Datos!I10),Datos!I10," - ")</f>
        <v>117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1</v>
      </c>
      <c r="Y10" s="374">
        <f t="shared" ref="Y10:Y13" si="0">SUM(W10:X10)</f>
        <v>50</v>
      </c>
      <c r="Z10" s="375" t="str">
        <f>IF(ISNUMBER(Datos!CC10),Datos!CC10," - ")</f>
        <v xml:space="preserve"> - </v>
      </c>
      <c r="AA10" s="372">
        <f>IF(ISNUMBER(Datos!L10),Datos!L10,"-")</f>
        <v>98</v>
      </c>
      <c r="AB10" s="374">
        <f>IF(ISNUMBER(Datos!R10),Datos!R10," - ")</f>
        <v>105</v>
      </c>
      <c r="AC10" s="374">
        <f t="shared" ref="AC10:AC13" si="1">IF(ISNUMBER(AA10+AB10),AA10+AB10," - ")</f>
        <v>203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1.6333333333333333</v>
      </c>
      <c r="AM10" s="284">
        <f>IF(ISNUMBER(((NºAsuntos!I10/NºAsuntos!G10)*11)/factor_trimestre),((NºAsuntos!I10/NºAsuntos!G10)*11)/factor_trimestre," - ")</f>
        <v>4</v>
      </c>
      <c r="AN10" s="267">
        <f>IF(ISNUMBER('Resol  Asuntos'!D10/NºAsuntos!G10),'Resol  Asuntos'!D10/NºAsuntos!G10," - ")</f>
        <v>0.30612244897959184</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82</v>
      </c>
      <c r="Y11" s="374">
        <f t="shared" si="0"/>
        <v>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671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115</v>
      </c>
      <c r="AJ11" s="245" t="str">
        <f>IF(ISNUMBER(Datos!BW11),Datos!BW11," - ")</f>
        <v xml:space="preserve"> - </v>
      </c>
      <c r="AK11" s="246" t="str">
        <f>IF(ISNUMBER(Datos!BX11),Datos!BX11," - ")</f>
        <v xml:space="preserve"> - </v>
      </c>
      <c r="AL11" s="266">
        <f>IF(ISNUMBER(NºAsuntos!G11/NºAsuntos!E11),NºAsuntos!G11/NºAsuntos!E11," - ")</f>
        <v>0.76627712854757934</v>
      </c>
      <c r="AM11" s="284">
        <f>IF(ISNUMBER(((NºAsuntos!I11/NºAsuntos!G11)*11)/factor_trimestre),((NºAsuntos!I11/NºAsuntos!G11)*11)/factor_trimestre," - ")</f>
        <v>4.3616557734204795</v>
      </c>
      <c r="AN11" s="267">
        <f>IF(ISNUMBER('Resol  Asuntos'!D11/NºAsuntos!G11),'Resol  Asuntos'!D11/NºAsuntos!G11," - ")</f>
        <v>0.25054466230936817</v>
      </c>
      <c r="AO11" s="268">
        <f>IF(ISNUMBER((NºAsuntos!C11+NºAsuntos!E11)/NºAsuntos!G11),(NºAsuntos!C11+NºAsuntos!E11)/NºAsuntos!G11," - ")</f>
        <v>3.1808278867102397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117</v>
      </c>
      <c r="G14" s="1163">
        <f t="shared" si="5"/>
        <v>117</v>
      </c>
      <c r="H14" s="1162">
        <f t="shared" si="5"/>
        <v>0</v>
      </c>
      <c r="I14" s="1164">
        <f t="shared" si="5"/>
        <v>0</v>
      </c>
      <c r="J14" s="1164">
        <f t="shared" si="5"/>
        <v>0</v>
      </c>
      <c r="K14" s="1164">
        <f t="shared" si="5"/>
        <v>0</v>
      </c>
      <c r="L14" s="1164">
        <f t="shared" si="5"/>
        <v>459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716</v>
      </c>
      <c r="Y14" s="1165">
        <f t="shared" si="6"/>
        <v>765</v>
      </c>
      <c r="Z14" s="1165">
        <f t="shared" si="6"/>
        <v>0</v>
      </c>
      <c r="AA14" s="1165">
        <f t="shared" si="6"/>
        <v>98</v>
      </c>
      <c r="AB14" s="1165">
        <f t="shared" si="6"/>
        <v>8998</v>
      </c>
      <c r="AC14" s="1165">
        <f t="shared" si="6"/>
        <v>203</v>
      </c>
      <c r="AD14" s="1165">
        <f t="shared" si="6"/>
        <v>0</v>
      </c>
      <c r="AE14" s="1169">
        <f t="shared" si="6"/>
        <v>0</v>
      </c>
      <c r="AF14" s="1162">
        <f t="shared" si="6"/>
        <v>0</v>
      </c>
      <c r="AG14" s="1170">
        <f t="shared" si="6"/>
        <v>0</v>
      </c>
      <c r="AH14" s="1167">
        <f t="shared" si="6"/>
        <v>0</v>
      </c>
      <c r="AI14" s="1162">
        <f t="shared" si="6"/>
        <v>393</v>
      </c>
      <c r="AJ14" s="1164">
        <f t="shared" si="6"/>
        <v>0</v>
      </c>
      <c r="AK14" s="1167">
        <f>SUBTOTAL(9,AK9:AK13)</f>
        <v>0</v>
      </c>
      <c r="AL14" s="1171">
        <f>IF(ISNUMBER(NºAsuntos!G14/NºAsuntos!E14),NºAsuntos!G14/NºAsuntos!E14," - ")</f>
        <v>0.88928067700987301</v>
      </c>
      <c r="AM14" s="1171">
        <f>IF(ISNUMBER(((NºAsuntos!I14/NºAsuntos!G14)*11)/factor_trimestre),((NºAsuntos!I14/NºAsuntos!G14)*11)/factor_trimestre," - ")</f>
        <v>4.2513877874702617</v>
      </c>
      <c r="AN14" s="1172">
        <f>IF(ISNUMBER('Resol  Asuntos'!D14/NºAsuntos!G14),'Resol  Asuntos'!D14/NºAsuntos!G14," - ")</f>
        <v>0.15582870737509913</v>
      </c>
      <c r="AO14" s="1173">
        <f>IF(ISNUMBER((NºAsuntos!C14+NºAsuntos!E14)/NºAsuntos!G14),(NºAsuntos!C14+NºAsuntos!E14)/NºAsuntos!G14," - ")</f>
        <v>3.1252973830293418</v>
      </c>
      <c r="AP14" s="1174" t="str">
        <f t="shared" si="2"/>
        <v xml:space="preserve"> - </v>
      </c>
      <c r="AQ14" s="1174">
        <f>IF(ISNUMBER((H14-W14+K14)/(F14)),(H14-W14+K14)/(F14)," - ")</f>
        <v>-0.41880341880341881</v>
      </c>
      <c r="AR14" s="1175">
        <f>IF(ISNUMBER((Datos!P14-Datos!Q14)/(Datos!R14-Datos!P14+Datos!Q14)),(Datos!P14-Datos!Q14)/(Datos!R14-Datos!P14+Datos!Q14)," - ")</f>
        <v>-2.7768773635872501E-2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1752</v>
      </c>
      <c r="G16" s="373">
        <f>IF(ISNUMBER(IF(D_I="SI",Datos!I16,Datos!I16+Datos!AC16)),IF(D_I="SI",Datos!I16,Datos!I16+Datos!AC16)," - ")</f>
        <v>1683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3267</v>
      </c>
      <c r="X16" s="240">
        <f>IF(ISNUMBER(Datos!Q16),Datos!Q16," - ")</f>
        <v>99</v>
      </c>
      <c r="Y16" s="374">
        <f>SUM(W16)</f>
        <v>3267</v>
      </c>
      <c r="Z16" s="375" t="str">
        <f>IF(ISNUMBER(Datos!CC16),Datos!CC16," - ")</f>
        <v xml:space="preserve"> - </v>
      </c>
      <c r="AA16" s="372">
        <f>IF(ISNUMBER(IF(D_I="SI",Datos!L16,Datos!L16+Datos!AF16)),IF(D_I="SI",Datos!L16,Datos!L16+Datos!AF16)," - ")</f>
        <v>1882</v>
      </c>
      <c r="AB16" s="374">
        <f>IF(ISNUMBER(Datos!R16),Datos!R16," - ")</f>
        <v>467</v>
      </c>
      <c r="AC16" s="374">
        <f t="shared" ref="AC16:AC22" si="8">IF(ISNUMBER(AA16+AB16),AA16+AB16," - ")</f>
        <v>2349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195</v>
      </c>
      <c r="AJ16" s="245" t="str">
        <f>IF(ISNUMBER(Datos!BW16),Datos!BW16," - ")</f>
        <v xml:space="preserve"> - </v>
      </c>
      <c r="AK16" s="246" t="str">
        <f>IF(ISNUMBER(Datos!BX16),Datos!BX16," - ")</f>
        <v xml:space="preserve"> - </v>
      </c>
      <c r="AL16" s="266">
        <f>IF(ISNUMBER(NºAsuntos!G16/NºAsuntos!E16),NºAsuntos!G16/NºAsuntos!E16," - ")</f>
        <v>0.96173093906387985</v>
      </c>
      <c r="AM16" s="284">
        <f>IF(ISNUMBER(((NºAsuntos!I16/NºAsuntos!G16)*11)/factor_trimestre),((NºAsuntos!I16/NºAsuntos!G16)*11)/factor_trimestre," - ")</f>
        <v>1.1521273339455158</v>
      </c>
      <c r="AN16" s="267">
        <f>IF(ISNUMBER('Resol  Asuntos'!D16/NºAsuntos!G16),'Resol  Asuntos'!D16/NºAsuntos!G16," - ")</f>
        <v>5.968778696051423E-2</v>
      </c>
      <c r="AO16" s="268">
        <f>IF(ISNUMBER((NºAsuntos!C16+NºAsuntos!E16)/NºAsuntos!G16),(NºAsuntos!C16+NºAsuntos!E16)/NºAsuntos!G16," - ")</f>
        <v>1.5549433731251914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579</v>
      </c>
      <c r="X18" s="240">
        <f>IF(ISNUMBER(Datos!Q18),Datos!Q18," - ")</f>
        <v>0</v>
      </c>
      <c r="Y18" s="374">
        <f t="shared" si="9"/>
        <v>579</v>
      </c>
      <c r="Z18" s="375" t="str">
        <f>IF(ISNUMBER(Datos!CC18),Datos!CC18," - ")</f>
        <v xml:space="preserve"> - </v>
      </c>
      <c r="AA18" s="372">
        <f>IF(ISNUMBER(Datos!L18),Datos!L18,"-")</f>
        <v>392</v>
      </c>
      <c r="AB18" s="374">
        <f>IF(ISNUMBER(Datos!R18),Datos!R18," - ")</f>
        <v>6</v>
      </c>
      <c r="AC18" s="374">
        <f t="shared" si="8"/>
        <v>398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0.94146341463414629</v>
      </c>
      <c r="AM18" s="284">
        <f>IF(ISNUMBER(((NºAsuntos!I18/NºAsuntos!G18)*11)/factor_trimestre),((NºAsuntos!I18/NºAsuntos!G18)*11)/factor_trimestre," - ")</f>
        <v>1.3540587219343696</v>
      </c>
      <c r="AN18" s="267">
        <f>IF(ISNUMBER('Resol  Asuntos'!D18/NºAsuntos!G18),'Resol  Asuntos'!D18/NºAsuntos!G18," - ")</f>
        <v>1.7271157167530225E-2</v>
      </c>
      <c r="AO18" s="268">
        <f>IF(ISNUMBER((NºAsuntos!C18+NºAsuntos!E18)/NºAsuntos!G18),(NºAsuntos!C18+NºAsuntos!E18)/NºAsuntos!G18," - ")</f>
        <v>1.6718480138169258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1752</v>
      </c>
      <c r="G23" s="1163">
        <f>SUBTOTAL(9,G16:G22)</f>
        <v>2036</v>
      </c>
      <c r="H23" s="1162">
        <f t="shared" ref="H23:O23" si="13">SUBTOTAL(9,H15:H22)</f>
        <v>0</v>
      </c>
      <c r="I23" s="1164">
        <f t="shared" si="13"/>
        <v>0</v>
      </c>
      <c r="J23" s="1164">
        <f t="shared" si="13"/>
        <v>0</v>
      </c>
      <c r="K23" s="1164">
        <f t="shared" si="13"/>
        <v>0</v>
      </c>
      <c r="L23" s="1164">
        <f t="shared" si="13"/>
        <v>138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3846</v>
      </c>
      <c r="X23" s="1164">
        <f t="shared" si="14"/>
        <v>99</v>
      </c>
      <c r="Y23" s="1165">
        <f t="shared" si="14"/>
        <v>3846</v>
      </c>
      <c r="Z23" s="1165">
        <f t="shared" si="14"/>
        <v>0</v>
      </c>
      <c r="AA23" s="1165">
        <f t="shared" si="14"/>
        <v>2274</v>
      </c>
      <c r="AB23" s="1165">
        <f t="shared" si="14"/>
        <v>473</v>
      </c>
      <c r="AC23" s="1165">
        <f t="shared" si="14"/>
        <v>2747</v>
      </c>
      <c r="AD23" s="1165">
        <f t="shared" si="14"/>
        <v>0</v>
      </c>
      <c r="AE23" s="1169">
        <f t="shared" si="14"/>
        <v>0</v>
      </c>
      <c r="AF23" s="1162">
        <f t="shared" si="14"/>
        <v>0</v>
      </c>
      <c r="AG23" s="1170">
        <f t="shared" si="14"/>
        <v>0</v>
      </c>
      <c r="AH23" s="1167">
        <f t="shared" si="14"/>
        <v>0</v>
      </c>
      <c r="AI23" s="1162">
        <f t="shared" si="14"/>
        <v>205</v>
      </c>
      <c r="AJ23" s="1164">
        <f t="shared" si="14"/>
        <v>0</v>
      </c>
      <c r="AK23" s="1167">
        <f t="shared" si="14"/>
        <v>0</v>
      </c>
      <c r="AL23" s="1171">
        <f>IF(ISNUMBER(NºAsuntos!G23/NºAsuntos!E23),NºAsuntos!G23/NºAsuntos!E23," - ")</f>
        <v>0.95862412761714855</v>
      </c>
      <c r="AM23" s="1171">
        <f>IF(ISNUMBER(((NºAsuntos!I23/NºAsuntos!G23)*11)/factor_trimestre),((NºAsuntos!I23/NºAsuntos!G23)*11)/factor_trimestre," - ")</f>
        <v>1.1825273010920436</v>
      </c>
      <c r="AN23" s="1172">
        <f>IF(ISNUMBER('Resol  Asuntos'!D23/NºAsuntos!G23),'Resol  Asuntos'!D23/NºAsuntos!G23," - ")</f>
        <v>5.3302132085283414E-2</v>
      </c>
      <c r="AO23" s="1173">
        <f>IF(ISNUMBER((NºAsuntos!C23+NºAsuntos!E23)/NºAsuntos!G23),(NºAsuntos!C23+NºAsuntos!E23)/NºAsuntos!G23," - ")</f>
        <v>1.5725429017160686</v>
      </c>
      <c r="AP23" s="1174" t="str">
        <f t="shared" si="2"/>
        <v xml:space="preserve"> - </v>
      </c>
      <c r="AQ23" s="1174">
        <f>IF(ISNUMBER((H23-W23+K23)/(F23)),(H23-W23+K23)/(F23)," - ")</f>
        <v>-2.1952054794520546</v>
      </c>
      <c r="AR23" s="1175">
        <f>IF(ISNUMBER((Datos!P23-Datos!Q23)/(Datos!R23-Datos!P23+Datos!Q23)),(Datos!P23-Datos!Q23)/(Datos!R23-Datos!P23+Datos!Q23)," - ")</f>
        <v>8.9861751152073732E-2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1869</v>
      </c>
      <c r="G31" s="1118">
        <f t="shared" si="20"/>
        <v>2153</v>
      </c>
      <c r="H31" s="1117">
        <f t="shared" si="20"/>
        <v>0</v>
      </c>
      <c r="I31" s="1119">
        <f t="shared" si="20"/>
        <v>0</v>
      </c>
      <c r="J31" s="1119">
        <f t="shared" si="20"/>
        <v>0</v>
      </c>
      <c r="K31" s="1180">
        <f t="shared" si="20"/>
        <v>0</v>
      </c>
      <c r="L31" s="1119">
        <f t="shared" si="20"/>
        <v>597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3895</v>
      </c>
      <c r="X31" s="1118">
        <f t="shared" si="21"/>
        <v>815</v>
      </c>
      <c r="Y31" s="1125">
        <f t="shared" si="21"/>
        <v>4611</v>
      </c>
      <c r="Z31" s="1125">
        <f t="shared" si="21"/>
        <v>0</v>
      </c>
      <c r="AA31" s="1125">
        <f t="shared" si="21"/>
        <v>2372</v>
      </c>
      <c r="AB31" s="1125">
        <f t="shared" si="21"/>
        <v>9471</v>
      </c>
      <c r="AC31" s="1125">
        <f t="shared" si="21"/>
        <v>2950</v>
      </c>
      <c r="AD31" s="1125">
        <f t="shared" si="21"/>
        <v>0</v>
      </c>
      <c r="AE31" s="1127">
        <f t="shared" si="21"/>
        <v>0</v>
      </c>
      <c r="AF31" s="1128">
        <f t="shared" si="21"/>
        <v>0</v>
      </c>
      <c r="AG31" s="1129">
        <f t="shared" si="21"/>
        <v>0</v>
      </c>
      <c r="AH31" s="1127">
        <f t="shared" si="21"/>
        <v>0</v>
      </c>
      <c r="AI31" s="1117">
        <f t="shared" si="21"/>
        <v>598</v>
      </c>
      <c r="AJ31" s="1117">
        <f t="shared" si="21"/>
        <v>0</v>
      </c>
      <c r="AK31" s="1127">
        <f t="shared" si="21"/>
        <v>0</v>
      </c>
      <c r="AL31" s="1183">
        <f>IF(ISNUMBER(NºAsuntos!G31/NºAsuntos!E31),NºAsuntos!G31/NºAsuntos!E31," - ")</f>
        <v>0.92990654205607481</v>
      </c>
      <c r="AM31" s="1184">
        <f>IF(ISNUMBER(((NºAsuntos!I31/NºAsuntos!G31)*11)/factor_trimestre),((NºAsuntos!I31/NºAsuntos!G31)*11)/factor_trimestre," - ")</f>
        <v>2.3979271356783918</v>
      </c>
      <c r="AN31" s="1184">
        <f>IF(ISNUMBER('Resol  Asuntos'!D31/NºAsuntos!G31),'Resol  Asuntos'!D31/NºAsuntos!G31," - ")</f>
        <v>9.3907035175879394E-2</v>
      </c>
      <c r="AO31" s="1185">
        <f>IF(ISNUMBER((NºAsuntos!C31+NºAsuntos!E31)/NºAsuntos!G31),(NºAsuntos!C31+NºAsuntos!E31)/NºAsuntos!G31," - ")</f>
        <v>2.1875</v>
      </c>
      <c r="AP31" s="1186" t="str">
        <f t="shared" si="2"/>
        <v xml:space="preserve"> - </v>
      </c>
      <c r="AQ31" s="1187">
        <f>IF(OR(ISNUMBER(FIND("01",Criterios!A8,1)),ISNUMBER(FIND("02",Criterios!A8,1)),ISNUMBER(FIND("03",Criterios!A8,1)),ISNUMBER(FIND("04",Criterios!A8,1))),(I31-W31+K31)/(F31-K31),(H31-W31+K31)/(F31-K31))</f>
        <v>-2.0840021401819153</v>
      </c>
      <c r="AR31" s="1188">
        <f>IF(ISNUMBER((Datos!P31-Datos!Q31)/(Datos!R31-Datos!P31+Datos!Q31)),(Datos!P31-Datos!Q31)/(Datos!R31-Datos!P31+Datos!Q31)," - ")</f>
        <v>-2.2499741975436062E-2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2.7144835701531846</v>
      </c>
      <c r="F33" s="276">
        <f>IF(ISNUMBER(STDEV(F8:F30)),STDEV(F8:F30),"-")</f>
        <v>876.08355765874296</v>
      </c>
      <c r="G33" s="277">
        <f>IF(ISNUMBER(STDEV(G8:G30)),STDEV(G8:G30),"-")</f>
        <v>864.19199806744894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1689.9650320417313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140.6604461499789</v>
      </c>
      <c r="AJ33" s="276">
        <f t="shared" si="25"/>
        <v>0</v>
      </c>
      <c r="AK33" s="278">
        <f t="shared" si="25"/>
        <v>0</v>
      </c>
      <c r="AL33" s="273">
        <f t="shared" si="25"/>
        <v>0.28333575713248876</v>
      </c>
      <c r="AM33" s="274">
        <f t="shared" si="25"/>
        <v>1.5986859268455997</v>
      </c>
      <c r="AN33" s="274">
        <f t="shared" si="25"/>
        <v>0.10737673027554442</v>
      </c>
      <c r="AO33" s="275">
        <f t="shared" si="25"/>
        <v>0.80742739727685997</v>
      </c>
      <c r="AP33" s="317" t="str">
        <f t="shared" si="25"/>
        <v>-</v>
      </c>
      <c r="AQ33" s="318">
        <f t="shared" si="25"/>
        <v>1.2561059431984074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2WXbDylvcukglZA5A8Kw1EWhFJDQIbUJeInEfCwIwsFSxlb+o08H/b+Q344Fnw+MBCLP4cWNKCVZJxYm1e4VA==" saltValue="IxQRTtLw2ai1QlMG72Lx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ALCALA DE HENARES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0.315</v>
      </c>
      <c r="I9" s="395">
        <f>IF(ISNUMBER((Tasas!C9-Datos!BE9)/Datos!BE9),(Tasas!C9-Datos!BE9)/Datos!BE9," - ")</f>
        <v>4.6942479923904934E-2</v>
      </c>
      <c r="J9" s="394">
        <f>IF(ISNUMBER((Tasas!D9-Datos!BF9)/Datos!BF9),(Tasas!D9-Datos!BF9)/Datos!BF9," - ")</f>
        <v>-0.77820083535852047</v>
      </c>
      <c r="K9" s="396">
        <f>IF(ISNUMBER((Tasas!E9-Datos!BG9)/Datos!BG9),(Tasas!E9-Datos!BG9)/Datos!BG9," - ")</f>
        <v>2.962776404045361E-2</v>
      </c>
      <c r="M9" t="e">
        <f>IF(Monitorios="SI",Datos!CE9,0)</f>
        <v>#REF!</v>
      </c>
      <c r="N9" t="e">
        <f>IF(Monitorios="SI",Datos!CF9,0)</f>
        <v>#REF!</v>
      </c>
      <c r="O9" t="e">
        <f>IF(Monitorios="SI",Datos!CG9,0)</f>
        <v>#REF!</v>
      </c>
      <c r="P9" t="e">
        <f>IF(Monitorios="SI",Datos!CH9,0)</f>
        <v>#REF!</v>
      </c>
      <c r="Q9">
        <f>IF(J_V="SI",0,Datos!AG9)</f>
        <v>92</v>
      </c>
      <c r="R9">
        <f>IF(J_V="SI",0,Datos!AH9)</f>
        <v>73</v>
      </c>
      <c r="S9">
        <f>IF(J_V="SI",0,Datos!AI9)</f>
        <v>75</v>
      </c>
      <c r="T9">
        <f>IF(J_V="SI",0,Datos!AJ9)</f>
        <v>90</v>
      </c>
    </row>
    <row r="10" spans="2:20" ht="14.25">
      <c r="B10" s="300" t="s">
        <v>321</v>
      </c>
      <c r="C10" s="7" t="str">
        <f>Datos!A10</f>
        <v>Jdos. Violencia contra la mujer</v>
      </c>
      <c r="D10" s="397">
        <f>IF(ISNUMBER((Datos!I10-Datos!S10)/Datos!S10),(Datos!I10-Datos!S10)/Datos!S10," - ")</f>
        <v>0.20618556701030927</v>
      </c>
      <c r="E10" s="393">
        <f>IF(ISNUMBER((Datos!J10-Datos!T10)/Datos!T10),(Datos!J10-Datos!T10)/Datos!T10," - ")</f>
        <v>0.2</v>
      </c>
      <c r="F10" s="393">
        <f>IF(ISNUMBER((Datos!K10-Datos!U10)/Datos!U10),(Datos!K10-Datos!U10)/Datos!U10," - ")</f>
        <v>2.7692307692307692</v>
      </c>
      <c r="G10" s="394">
        <f>IF(ISNUMBER((Datos!L10-Datos!V10)/Datos!V10),(Datos!L10-Datos!V10)/Datos!V10," - ")</f>
        <v>-0.10091743119266056</v>
      </c>
      <c r="H10" s="244">
        <f>IF(ISNUMBER((Datos!M10-Datos!W10)/Datos!W10),(Datos!M10-Datos!W10)/Datos!W10," - ")</f>
        <v>0.36363636363636365</v>
      </c>
      <c r="I10" s="395">
        <f>IF(ISNUMBER((Tasas!C10-Datos!BE10)/Datos!BE10),(Tasas!C10-Datos!BE10)/Datos!BE10," - ")</f>
        <v>-0.76146788990825687</v>
      </c>
      <c r="J10" s="394">
        <f>IF(ISNUMBER((Tasas!D10-Datos!BF10)/Datos!BF10),(Tasas!D10-Datos!BF10)/Datos!BF10," - ")</f>
        <v>-0.63821892393320967</v>
      </c>
      <c r="K10" s="396">
        <f>IF(ISNUMBER((Tasas!E10-Datos!BG10)/Datos!BG10),(Tasas!E10-Datos!BG10)/Datos!BG10," - ")</f>
        <v>-0.68032786885245899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6.4814814814814811E-2</v>
      </c>
      <c r="I11" s="395">
        <f>IF(ISNUMBER((Tasas!C11-Datos!BE11)/Datos!BE11),(Tasas!C11-Datos!BE11)/Datos!BE11," - ")</f>
        <v>-0.11528280458002439</v>
      </c>
      <c r="J11" s="394">
        <f>IF(ISNUMBER((Tasas!D11-Datos!BF11)/Datos!BF11),(Tasas!D11-Datos!BF11)/Datos!BF11," - ")</f>
        <v>-0.60852396514161222</v>
      </c>
      <c r="K11" s="396">
        <f>IF(ISNUMBER((Tasas!E11-Datos!BG11)/Datos!BG11),(Tasas!E11-Datos!BG11)/Datos!BG11," - ")</f>
        <v>-0.27336884369840331</v>
      </c>
      <c r="M11" t="e">
        <f>IF(Monitorios="SI",Datos!CE11,0)</f>
        <v>#REF!</v>
      </c>
      <c r="N11" t="e">
        <f>IF(Monitorios="SI",Datos!CF11,0)</f>
        <v>#REF!</v>
      </c>
      <c r="O11" t="e">
        <f>IF(Monitorios="SI",Datos!CG11,0)</f>
        <v>#REF!</v>
      </c>
      <c r="P11" t="e">
        <f>IF(Monitorios="SI",Datos!CH11,0)</f>
        <v>#REF!</v>
      </c>
      <c r="Q11">
        <f>IF(J_V="SI",0,Datos!AG11)</f>
        <v>605</v>
      </c>
      <c r="R11">
        <f>IF(J_V="SI",0,Datos!AH11)</f>
        <v>181</v>
      </c>
      <c r="S11">
        <f>IF(J_V="SI",0,Datos!AI11)</f>
        <v>170</v>
      </c>
      <c r="T11">
        <f>IF(J_V="SI",0,Datos!AJ11)</f>
        <v>251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0.23197492163009403</v>
      </c>
      <c r="I14" s="402">
        <f>IF(ISNUMBER((Tasas!C14-Datos!BE14)/Datos!BE14),(Tasas!C14-Datos!BE14)/Datos!BE14," - ")</f>
        <v>-9.0147952726711729E-3</v>
      </c>
      <c r="J14" s="400">
        <f>IF(ISNUMBER((Tasas!D14-Datos!BF14)/Datos!BF14),(Tasas!D14-Datos!BF14)/Datos!BF14," - ")</f>
        <v>-0.74032664690187522</v>
      </c>
      <c r="K14" s="403">
        <f>IF(ISNUMBER((Tasas!E14-Datos!BG14)/Datos!BG14),(Tasas!E14-Datos!BG14)/Datos!BG14," - ")</f>
        <v>-5.9324402961112681E-2</v>
      </c>
      <c r="M14" t="e">
        <f>IF(Monitorios="SI",Datos!CE14,0)</f>
        <v>#REF!</v>
      </c>
      <c r="N14" t="e">
        <f>IF(Monitorios="SI",Datos!CF14,0)</f>
        <v>#REF!</v>
      </c>
      <c r="O14" t="e">
        <f>IF(Monitorios="SI",Datos!CG14,0)</f>
        <v>#REF!</v>
      </c>
      <c r="P14" t="e">
        <f>IF(Monitorios="SI",Datos!CH14,0)</f>
        <v>#REF!</v>
      </c>
      <c r="Q14">
        <f>IF(J_V="SI",0,Datos!AG14)</f>
        <v>697</v>
      </c>
      <c r="R14">
        <f>IF(J_V="SI",0,Datos!AH14)</f>
        <v>254</v>
      </c>
      <c r="S14">
        <f>IF(J_V="SI",0,Datos!AI14)</f>
        <v>245</v>
      </c>
      <c r="T14">
        <f>IF(J_V="SI",0,Datos!AJ14)</f>
        <v>341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-0.11234177215189874</v>
      </c>
      <c r="E16" s="393">
        <f>IF(ISNUMBER(
   IF(D_I="SI",(Datos!J16-Datos!T16)/Datos!T16,(Datos!J16+Datos!AD16-(Datos!T16+Datos!AL16))/(Datos!T16+Datos!AL16))
     ),IF(D_I="SI",(Datos!J16-Datos!T16)/Datos!T16,(Datos!J16+Datos!AD16-(Datos!T16+Datos!AL16))/(Datos!T16+Datos!AL16))," - ")</f>
        <v>1.3424821002386634E-2</v>
      </c>
      <c r="F16" s="393">
        <f>IF(ISNUMBER(
   IF(D_I="SI",(Datos!K16-Datos!U16)/Datos!U16,(Datos!K16+Datos!AE16-(Datos!U16+Datos!AM16))/(Datos!U16+Datos!AM16))
     ),IF(D_I="SI",(Datos!K16-Datos!U16)/Datos!U16,(Datos!K16+Datos!AE16-(Datos!U16+Datos!AM16))/(Datos!U16+Datos!AM16))," - ")</f>
        <v>1.8709073900841908E-2</v>
      </c>
      <c r="G16" s="394">
        <f>IF(ISNUMBER(
   IF(D_I="SI",(Datos!L16-Datos!V16)/Datos!V16,(Datos!L16+Datos!AF16-(Datos!V16+Datos!AN16))/(Datos!V16+Datos!AN16))
     ),IF(D_I="SI",(Datos!L16-Datos!V16)/Datos!V16,(Datos!L16+Datos!AF16-(Datos!V16+Datos!AN16))/(Datos!V16+Datos!AN16))," - ")</f>
        <v>-0.11268269684111268</v>
      </c>
      <c r="H16" s="244">
        <f>IF(ISNUMBER((Datos!M16-Datos!W16)/Datos!W16),(Datos!M16-Datos!W16)/Datos!W16," - ")</f>
        <v>0.21118012422360249</v>
      </c>
      <c r="I16" s="395">
        <f>IF(ISNUMBER((Tasas!C16-Datos!BE16)/Datos!BE16),(Tasas!C16-Datos!BE16)/Datos!BE16," - ")</f>
        <v>-0.12897869873567433</v>
      </c>
      <c r="J16" s="394">
        <f>IF(ISNUMBER((Tasas!D16-Datos!BF16)/Datos!BF16),(Tasas!D16-Datos!BF16)/Datos!BF16," - ")</f>
        <v>0.18893622846192012</v>
      </c>
      <c r="K16" s="396">
        <f>IF(ISNUMBER((Tasas!E16-Datos!BG16)/Datos!BG16),(Tasas!E16-Datos!BG16)/Datos!BG16," - ")</f>
        <v>-4.9789748930547099E-2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0.5347826086956522</v>
      </c>
      <c r="E18" s="393">
        <f>IF(ISNUMBER(
   IF(D_I="SI",(Datos!J18-Datos!T18)/Datos!T18,(Datos!J18+Datos!AD18-(Datos!T18+Datos!AL18))/(Datos!T18+Datos!AL18))
     ),IF(D_I="SI",(Datos!J18-Datos!T18)/Datos!T18,(Datos!J18+Datos!AD18-(Datos!T18+Datos!AL18))/(Datos!T18+Datos!AL18))," - ")</f>
        <v>0.58505154639175261</v>
      </c>
      <c r="F18" s="393">
        <f>IF(ISNUMBER(
   IF(D_I="SI",(Datos!K18-Datos!U18)/Datos!U18,(Datos!K18+Datos!AE18-(Datos!U18+Datos!AM18))/(Datos!U18+Datos!AM18))
     ),IF(D_I="SI",(Datos!K18-Datos!U18)/Datos!U18,(Datos!K18+Datos!AE18-(Datos!U18+Datos!AM18))/(Datos!U18+Datos!AM18))," - ")</f>
        <v>0.46954314720812185</v>
      </c>
      <c r="G18" s="394">
        <f>IF(ISNUMBER(
   IF(D_I="SI",(Datos!L18-Datos!V18)/Datos!V18,(Datos!L18+Datos!AF18-(Datos!V18+Datos!AN18))/(Datos!V18+Datos!AN18))
     ),IF(D_I="SI",(Datos!L18-Datos!V18)/Datos!V18,(Datos!L18+Datos!AF18-(Datos!V18+Datos!AN18))/(Datos!V18+Datos!AN18))," - ")</f>
        <v>0.72687224669603523</v>
      </c>
      <c r="H18" s="244">
        <f>IF(ISNUMBER((Datos!M18-Datos!W18)/Datos!W18),(Datos!M18-Datos!W18)/Datos!W18," - ")</f>
        <v>-0.54545454545454541</v>
      </c>
      <c r="I18" s="395">
        <f>IF(ISNUMBER((Tasas!C18-Datos!BE18)/Datos!BE18),(Tasas!C18-Datos!BE18)/Datos!BE18," - ")</f>
        <v>0.17510823004877007</v>
      </c>
      <c r="J18" s="394">
        <f>IF(ISNUMBER((Tasas!D18-Datos!BF18)/Datos!BF18),(Tasas!D18-Datos!BF18)/Datos!BF18," - ")</f>
        <v>-0.69068927618150422</v>
      </c>
      <c r="K18" s="396">
        <f>IF(ISNUMBER((Tasas!E18-Datos!BG18)/Datos!BG18),(Tasas!E18-Datos!BG18)/Datos!BG18," - ")</f>
        <v>6.5870740200434957E-2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-4.2333019755409221E-2</v>
      </c>
      <c r="E23" s="399">
        <f>IF(ISNUMBER(
   IF(D_I="SI",(Datos!J23-Datos!T23)/Datos!T23,(Datos!J23+Datos!AD23-(Datos!T23+Datos!AL23))/(Datos!T23+Datos!AL23))
     ),IF(D_I="SI",(Datos!J23-Datos!T23)/Datos!T23,(Datos!J23+Datos!AD23-(Datos!T23+Datos!AL23))/(Datos!T23+Datos!AL23))," - ")</f>
        <v>7.2727272727272724E-2</v>
      </c>
      <c r="F23" s="399">
        <f>IF(ISNUMBER(
   IF(D_I="SI",(Datos!K23-Datos!U23)/Datos!U23,(Datos!K23+Datos!AE23-(Datos!U23+Datos!AM23))/(Datos!U23+Datos!AM23))
     ),IF(D_I="SI",(Datos!K23-Datos!U23)/Datos!U23,(Datos!K23+Datos!AE23-(Datos!U23+Datos!AM23))/(Datos!U23+Datos!AM23))," - ")</f>
        <v>6.8036656484309913E-2</v>
      </c>
      <c r="G23" s="400">
        <f>IF(ISNUMBER(
   IF(D_I="SI",(Datos!L23-Datos!V23)/Datos!V23,(Datos!L23+Datos!AF23-(Datos!V23+Datos!AN23))/(Datos!V23+Datos!AN23))
     ),IF(D_I="SI",(Datos!L23-Datos!V23)/Datos!V23,(Datos!L23+Datos!AF23-(Datos!V23+Datos!AN23))/(Datos!V23+Datos!AN23))," - ")</f>
        <v>-3.1516183986371377E-2</v>
      </c>
      <c r="H23" s="401">
        <f>IF(ISNUMBER((Datos!M23-Datos!W23)/Datos!W23),(Datos!M23-Datos!W23)/Datos!W23," - ")</f>
        <v>0.12021857923497267</v>
      </c>
      <c r="I23" s="402">
        <f>IF(ISNUMBER((Tasas!C23-Datos!BE23)/Datos!BE23),(Tasas!C23-Datos!BE23)/Datos!BE23," - ")</f>
        <v>-9.3211070861914561E-2</v>
      </c>
      <c r="J23" s="400">
        <f>IF(ISNUMBER((Tasas!D23-Datos!BF23)/Datos!BF23),(Tasas!D23-Datos!BF23)/Datos!BF23," - ")</f>
        <v>4.8857801306587866E-2</v>
      </c>
      <c r="K23" s="403">
        <f>IF(ISNUMBER((Tasas!E23-Datos!BG23)/Datos!BG23),(Tasas!E23-Datos!BG23)/Datos!BG23," - ")</f>
        <v>-3.4652746491721231E-2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7.7929984779299855E-2</v>
      </c>
      <c r="E31" s="409">
        <f>IF(ISNUMBER(
   IF(J_V="SI",(Datos!J31-Datos!T31)/Datos!T31,(Datos!J31+Datos!Z31-(Datos!T31+Datos!AH31))/(Datos!T31+Datos!AH31))
     ),IF(J_V="SI",(Datos!J31-Datos!T31)/Datos!T31,(Datos!J31+Datos!Z31-(Datos!T31+Datos!AH31))/(Datos!T31+Datos!AH31))," - ")</f>
        <v>8.9925194970555469E-2</v>
      </c>
      <c r="F31" s="409">
        <f>IF(ISNUMBER(
   IF(J_V="SI",(Datos!K31-Datos!U31)/Datos!U31,(Datos!K31+Datos!AA31-(Datos!U31+Datos!AI31))/(Datos!U31+Datos!AI31))
     ),IF(J_V="SI",(Datos!K31-Datos!U31)/Datos!U31,(Datos!K31+Datos!AA31-(Datos!U31+Datos!AI31))/(Datos!U31+Datos!AI31))," - ")</f>
        <v>0.11640953716690042</v>
      </c>
      <c r="G31" s="410">
        <f>IF(ISNUMBER(
   IF(J_V="SI",(Datos!L31-Datos!V31)/Datos!V31,(Datos!L31+Datos!AB31-(Datos!V31+Datos!AJ31))/(Datos!V31+Datos!AJ31))
     ),IF(J_V="SI",(Datos!L31-Datos!V31)/Datos!V31,(Datos!L31+Datos!AB31-(Datos!V31+Datos!AJ31))/(Datos!V31+Datos!AJ31))," - ")</f>
        <v>0.11313602565971716</v>
      </c>
      <c r="H31" s="411">
        <f>IF(ISNUMBER((Datos!M31-Datos!W31)/Datos!W31),(Datos!M31-Datos!W31)/Datos!W31," - ")</f>
        <v>0.19123505976095617</v>
      </c>
      <c r="I31" s="408">
        <f>IF(ISNUMBER((Tasas!C31-Datos!BE31)/Datos!BE31),(Tasas!C31-Datos!BE31)/Datos!BE31," - ")</f>
        <v>-2.9321780208815006E-3</v>
      </c>
      <c r="J31" s="409">
        <f>IF(ISNUMBER((Tasas!D31-Datos!BF31)/Datos!BF31),(Tasas!D31-Datos!BF31)/Datos!BF31," - ")</f>
        <v>-0.62931091443376053</v>
      </c>
      <c r="K31" s="410">
        <f>IF(ISNUMBER((Tasas!E31-Datos!BG31)/Datos!BG31),(Tasas!E31-Datos!BG31)/Datos!BG31," - ")</f>
        <v>-2.9214969267875198E-2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0.29267883533947353</v>
      </c>
      <c r="E33" s="303">
        <f t="shared" si="1"/>
        <v>0.2569084456328587</v>
      </c>
      <c r="F33" s="303">
        <f t="shared" si="1"/>
        <v>1.3075828343503595</v>
      </c>
      <c r="G33" s="304">
        <f t="shared" si="1"/>
        <v>0.4058719238902242</v>
      </c>
      <c r="H33" s="310">
        <f t="shared" si="1"/>
        <v>0.30638424855108731</v>
      </c>
      <c r="I33" s="302">
        <f t="shared" si="1"/>
        <v>0.29979907484383489</v>
      </c>
      <c r="J33" s="303">
        <f t="shared" si="1"/>
        <v>0.40144067757125051</v>
      </c>
      <c r="K33" s="304">
        <f t="shared" si="1"/>
        <v>0.26031178607192657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u4wzneh3sfmkLFrHYON71+Z6UI2anUn72QLFVcEWp6XSplHWLeHl2a7rRpdiOgo0DimfoGXEkOuMMnDC0iLwA==" saltValue="Zh5pNw/7l089a/Ckvjcx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